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60B49CFD-F148-4696-A8C3-E5CC3D9A54CC}" xr6:coauthVersionLast="47" xr6:coauthVersionMax="47" xr10:uidLastSave="{00000000-0000-0000-0000-000000000000}"/>
  <bookViews>
    <workbookView xWindow="-4485" yWindow="255" windowWidth="17340" windowHeight="14475" tabRatio="858" firstSheet="7" activeTab="7" xr2:uid="{00000000-000D-0000-FFFF-FFFF00000000}"/>
  </bookViews>
  <sheets>
    <sheet name="ПНЦ на УК (3)" sheetId="53" state="hidden" r:id="rId1"/>
    <sheet name="ПНЦ на УК" sheetId="32" state="hidden" r:id="rId2"/>
    <sheet name="ПНЦ на УК (2)" sheetId="52" state="hidden" r:id="rId3"/>
    <sheet name="расчет 1 эт ПИР" sheetId="49" state="hidden" r:id="rId4"/>
    <sheet name="расчет 2 эт ПИР" sheetId="50" state="hidden" r:id="rId5"/>
    <sheet name="расчет эт 3 ПИР" sheetId="51" state="hidden" r:id="rId6"/>
    <sheet name="расчет 1." sheetId="30" state="hidden" r:id="rId7"/>
    <sheet name="Расчет по объекту аналогу ЛНО" sheetId="58" r:id="rId8"/>
    <sheet name="расчет 2.1." sheetId="43" state="hidden" r:id="rId9"/>
    <sheet name="расчет 3." sheetId="11" state="hidden" r:id="rId10"/>
    <sheet name="расчет 4." sheetId="10" state="hidden" r:id="rId11"/>
    <sheet name="расчет 5." sheetId="12" state="hidden" r:id="rId12"/>
    <sheet name="расчет 6." sheetId="15" state="hidden" r:id="rId13"/>
    <sheet name="расчет 7." sheetId="16" state="hidden" r:id="rId14"/>
    <sheet name="расчет 8." sheetId="14" state="hidden" r:id="rId15"/>
    <sheet name="расчет 9." sheetId="22" state="hidden" r:id="rId16"/>
    <sheet name="расчет 10." sheetId="33" state="hidden" r:id="rId17"/>
    <sheet name="расчет 11." sheetId="34" state="hidden" r:id="rId18"/>
    <sheet name="расчет 12." sheetId="36" state="hidden" r:id="rId19"/>
    <sheet name="расчет 13." sheetId="37" state="hidden" r:id="rId20"/>
    <sheet name="расчет 14." sheetId="20" state="hidden" r:id="rId21"/>
    <sheet name="расчет 15." sheetId="18" state="hidden" r:id="rId22"/>
    <sheet name="расчет 16." sheetId="17" state="hidden" r:id="rId23"/>
    <sheet name="расчет 17." sheetId="24" state="hidden" r:id="rId24"/>
    <sheet name="расчет 18." sheetId="28" state="hidden" r:id="rId25"/>
    <sheet name="расчет 19." sheetId="26" state="hidden" r:id="rId26"/>
    <sheet name="расчет 20." sheetId="13" state="hidden" r:id="rId27"/>
    <sheet name="расчет 21." sheetId="21" state="hidden" r:id="rId28"/>
    <sheet name="расчет 22." sheetId="27" state="hidden" r:id="rId29"/>
    <sheet name="расчет 23" sheetId="31" state="hidden" r:id="rId30"/>
    <sheet name="расчет 24." sheetId="3" state="hidden" r:id="rId31"/>
    <sheet name="расчет 25." sheetId="23" state="hidden" r:id="rId32"/>
    <sheet name="расчет 26." sheetId="41" state="hidden" r:id="rId33"/>
    <sheet name="расчет стоимости еденицы" sheetId="57" state="hidden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xlfn.BAHTTEXT" hidden="1">#NAME?</definedName>
    <definedName name="__xlfn.BAHTTEXT" hidden="1">#NAME?</definedName>
    <definedName name="dck">[1]топография!#REF!</definedName>
    <definedName name="Excel_BuiltIn_Print_Titles_2">"$#ССЫЛ!.$A$12:$IV$12"</definedName>
    <definedName name="Excel_BuiltIn_Print_Titles_2_1">"$#ССЫЛ!.$A$12:$IV$12"</definedName>
    <definedName name="Excel_BuiltIn_Print_Titles_3">"$#ССЫЛ!.$A$12:$IV$12"</definedName>
    <definedName name="Excel_BuiltIn_Print_Titles_5_1">#REF!</definedName>
    <definedName name="F4_LocSmeta">#REF!</definedName>
    <definedName name="F4_ObjSmeta">#REF!</definedName>
    <definedName name="F4_OrgUpr">#REF!</definedName>
    <definedName name="F4_Proveril">#REF!</definedName>
    <definedName name="F4_Shifr">#REF!</definedName>
    <definedName name="F4_Sostavil">#REF!</definedName>
    <definedName name="F4_Titul">#REF!</definedName>
    <definedName name="F5_LocSmeta">#REF!</definedName>
    <definedName name="F5_ObjSmeta">#REF!</definedName>
    <definedName name="F5_OrgUpr">#REF!</definedName>
    <definedName name="F5_Proveril">#REF!</definedName>
    <definedName name="F5_Shifr">#REF!</definedName>
    <definedName name="F5_Sostavil">#REF!</definedName>
    <definedName name="F5_Titul">#REF!</definedName>
    <definedName name="F5_ZMH_1CHCH">#REF!</definedName>
    <definedName name="F5_ZMH_BAZ">#REF!</definedName>
    <definedName name="F5_ZMH_CHCH">#REF!</definedName>
    <definedName name="F5_ZOR_1CHCH">#REF!</definedName>
    <definedName name="F5_ZOR_BAZ">#REF!</definedName>
    <definedName name="F5_ZOR_CHCH">#REF!</definedName>
    <definedName name="F6_LocSmeta">'[2]Форма 9'!#REF!</definedName>
    <definedName name="F6_ObjSmeta">'[2]Форма 9'!#REF!</definedName>
    <definedName name="F6_OrgUpr">'[2]Форма 9'!#REF!</definedName>
    <definedName name="F6_PROCH_BAZ">'[2]Форма 9'!#REF!</definedName>
    <definedName name="F6_PROCH_TEK">'[2]Форма 9'!#REF!</definedName>
    <definedName name="F6_Shifr">'[2]Форма 9'!#REF!</definedName>
    <definedName name="F6_Titul">'[2]Форма 9'!#REF!</definedName>
    <definedName name="F7_LocSmeta">'[2]Форма 10'!#REF!</definedName>
    <definedName name="F7_ObjSmeta">'[2]Форма 10'!#REF!</definedName>
    <definedName name="F7_OrgUpr">'[2]Форма 10'!#REF!</definedName>
    <definedName name="F7_PROCH_BAZ">'[2]Форма 10'!#REF!</definedName>
    <definedName name="F7_PROCH_TEK">'[2]Форма 10'!#REF!</definedName>
    <definedName name="F7_Shifr">'[2]Форма 10'!#REF!</definedName>
    <definedName name="F7_Titul">'[2]Форма 10'!#REF!</definedName>
    <definedName name="FromFZA_BAZ">#REF!</definedName>
    <definedName name="FromFZA_TEK">#REF!</definedName>
    <definedName name="FZA_CopyStr">#REF!</definedName>
    <definedName name="Itog">#REF!</definedName>
    <definedName name="Print_Area" localSheetId="1">'ПНЦ на УК'!$A$1:$H$167</definedName>
    <definedName name="Print_Area" localSheetId="2">'ПНЦ на УК (2)'!$A$1:$H$167</definedName>
    <definedName name="Print_Area" localSheetId="0">'ПНЦ на УК (3)'!$A$1:$H$177</definedName>
    <definedName name="Print_Area" localSheetId="3">'расчет 1 эт ПИР'!$A$1:$E$20</definedName>
    <definedName name="Print_Area" localSheetId="6">'расчет 1.'!$A$1:$L$36</definedName>
    <definedName name="Print_Area" localSheetId="17">'расчет 11.'!$A$1:$L$45</definedName>
    <definedName name="Print_Area" localSheetId="18">'расчет 12.'!$A$1:$L$63</definedName>
    <definedName name="Print_Area" localSheetId="19">'расчет 13.'!$A$1:$L$33</definedName>
    <definedName name="Print_Area" localSheetId="20">'расчет 14.'!$A$1:$L$32</definedName>
    <definedName name="Print_Area" localSheetId="21">'расчет 15.'!$A$1:$L$32</definedName>
    <definedName name="Print_Area" localSheetId="22">'расчет 16.'!$A$1:$L$30</definedName>
    <definedName name="Print_Area" localSheetId="24">'расчет 18.'!$A$1:$L$33</definedName>
    <definedName name="Print_Area" localSheetId="4">'расчет 2 эт ПИР'!$A$1:$E$20</definedName>
    <definedName name="Print_Area" localSheetId="8">'расчет 2.1.'!$A$1:$L$37</definedName>
    <definedName name="Print_Area" localSheetId="26">'расчет 20.'!$A$1:$L$42</definedName>
    <definedName name="Print_Area" localSheetId="27">'расчет 21.'!$A$1:$L$32</definedName>
    <definedName name="Print_Area" localSheetId="28">'расчет 22.'!$A$1:$L$60</definedName>
    <definedName name="Print_Area" localSheetId="29">'расчет 23'!$A$1:$U$47</definedName>
    <definedName name="Print_Area" localSheetId="31">'расчет 25.'!$A$1:$L$38</definedName>
    <definedName name="Print_Area" localSheetId="11">'расчет 5.'!$A$1:$L$36</definedName>
    <definedName name="Print_Area" localSheetId="12">'расчет 6.'!$A$1:$L$30</definedName>
    <definedName name="Print_Area" localSheetId="13">'расчет 7.'!$A$1:$L$30</definedName>
    <definedName name="Print_Area" localSheetId="14">'расчет 8.'!$A$1:$L$124</definedName>
    <definedName name="Print_Area" localSheetId="15">'расчет 9.'!$A$1:$L$39</definedName>
    <definedName name="Print_Area" localSheetId="7">'Расчет по объекту аналогу ЛНО'!$A$1:$J$18</definedName>
    <definedName name="Print_Area" localSheetId="5">'расчет эт 3 ПИР'!$A$1:$E$20</definedName>
    <definedName name="Print_Area">#REF!</definedName>
    <definedName name="SM">#REF!</definedName>
    <definedName name="SM_SM">#REF!</definedName>
    <definedName name="SM_STO">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ZAK1">#REF!</definedName>
    <definedName name="ZAK2">#REF!</definedName>
    <definedName name="а36">#REF!</definedName>
    <definedName name="ав">#REF!</definedName>
    <definedName name="благополучие">#N/A</definedName>
    <definedName name="Бланк_сметы">#REF!</definedName>
    <definedName name="БСИР">#REF!</definedName>
    <definedName name="Верхняя_часть">#REF!</definedName>
    <definedName name="вид_сметы">#REF!</definedName>
    <definedName name="Внут_Т">#REF!</definedName>
    <definedName name="ВСЕГО">#REF!</definedName>
    <definedName name="Всего_1">#REF!</definedName>
    <definedName name="Всего_по_смете">#REF!</definedName>
    <definedName name="Вспом">#REF!</definedName>
    <definedName name="ВставляемСтроку1">[0]!ВставляемСтроку1</definedName>
    <definedName name="ВставляемСтроку2">[0]!ВставляемСтроку2</definedName>
    <definedName name="выдал">#REF!</definedName>
    <definedName name="геодез1">[3]геолог!$L$81</definedName>
    <definedName name="геол">[4]Смета!#REF!</definedName>
    <definedName name="гид">[5]Смета!#REF!</definedName>
    <definedName name="гидро1">#REF!</definedName>
    <definedName name="гидролог">#REF!</definedName>
    <definedName name="ГИП">#REF!</definedName>
    <definedName name="дд">[6]Смета!#REF!</definedName>
    <definedName name="Дефлятор">#REF!</definedName>
    <definedName name="Диалог2">[0]!Диалог2</definedName>
    <definedName name="Диалог3">[0]!Диалог3</definedName>
    <definedName name="Длинна_границы">#REF!</definedName>
    <definedName name="Длинна_трассы">#REF!</definedName>
    <definedName name="ДСК">[7]топография!#REF!</definedName>
    <definedName name="Заголовок_раздела">#REF!</definedName>
    <definedName name="Заказчик">#REF!</definedName>
    <definedName name="заказчики">#REF!</definedName>
    <definedName name="изыск">#REF!</definedName>
    <definedName name="изыскания">#REF!</definedName>
    <definedName name="инж">#REF!</definedName>
    <definedName name="ИПусто">#REF!</definedName>
    <definedName name="К1">#REF!</definedName>
    <definedName name="калплан">#REF!</definedName>
    <definedName name="Кам_стац">#REF!</definedName>
    <definedName name="Камер_эксп_усл">#REF!</definedName>
    <definedName name="Категория_сложности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п1">[0]!Коп1</definedName>
    <definedName name="Коп2">[0]!Коп2</definedName>
    <definedName name="Коп3">[0]!Коп3</definedName>
    <definedName name="Коэффициент">#REF!</definedName>
    <definedName name="л1">#REF!</definedName>
    <definedName name="лаб_иссл">#REF!</definedName>
    <definedName name="Лаб_стац">#REF!</definedName>
    <definedName name="Лаб_эксп_усл">#REF!</definedName>
    <definedName name="М_1" localSheetId="2">#REF!</definedName>
    <definedName name="М_1" localSheetId="0">#REF!</definedName>
    <definedName name="М_1" localSheetId="3">#REF!</definedName>
    <definedName name="М_1" localSheetId="17">#REF!</definedName>
    <definedName name="М_1" localSheetId="18">#REF!</definedName>
    <definedName name="М_1" localSheetId="19">#REF!</definedName>
    <definedName name="М_1" localSheetId="4">#REF!</definedName>
    <definedName name="М_1" localSheetId="32">#REF!</definedName>
    <definedName name="М_1" localSheetId="7">#REF!</definedName>
    <definedName name="М_1" localSheetId="5">#REF!</definedName>
    <definedName name="М_1">#REF!</definedName>
    <definedName name="митюгов">'[8]Данные для расчёта сметы'!$J$33</definedName>
    <definedName name="ммммммммммммммм">#REF!</definedName>
    <definedName name="Название_проекта">#REF!</definedName>
    <definedName name="Наименование_организации_заказчика">#REF!</definedName>
    <definedName name="Наименование_проектной_организации">#REF!</definedName>
    <definedName name="Наименование_строительства">#REF!</definedName>
    <definedName name="население">[0]!население</definedName>
    <definedName name="населения">#REF!</definedName>
    <definedName name="Нижняя_часть">#REF!</definedName>
    <definedName name="Номер">#REF!</definedName>
    <definedName name="Номер_договора">#REF!</definedName>
    <definedName name="Номер_пп">#REF!</definedName>
    <definedName name="Номер_раздела">#REF!</definedName>
    <definedName name="о">#REF!</definedName>
    <definedName name="_xlnm.Print_Area" localSheetId="7">'Расчет по объекту аналогу ЛНО'!$A$1:$J$16</definedName>
    <definedName name="объем">#N/A</definedName>
    <definedName name="объем___0">NA()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4">#REF!</definedName>
    <definedName name="объем___0___0___5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6">#REF!</definedName>
    <definedName name="объем___0___8">#REF!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NA()</definedName>
    <definedName name="объем___10___0">#REF!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8">NA()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5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0">#REF!</definedName>
    <definedName name="объем___2___2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8">#REF!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2">#REF!</definedName>
    <definedName name="объем___3___3">#REF!</definedName>
    <definedName name="объем___3___5">#REF!</definedName>
    <definedName name="объем___3_1">#REF!</definedName>
    <definedName name="объем___3_3">NA()</definedName>
    <definedName name="объем___3_5">#REF!</definedName>
    <definedName name="объем___4">#REF!</definedName>
    <definedName name="объем___4___0">#REF!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5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2">#REF!</definedName>
    <definedName name="объем___4___3">#REF!</definedName>
    <definedName name="объем___4___4">#REF!</definedName>
    <definedName name="объем___4___5">#REF!</definedName>
    <definedName name="объем___4___6">#REF!</definedName>
    <definedName name="объем___4___8">#REF!</definedName>
    <definedName name="объем___4_1">#REF!</definedName>
    <definedName name="объем___4_3">#REF!</definedName>
    <definedName name="объем___4_5">#REF!</definedName>
    <definedName name="объем___5">#REF!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0">#REF!</definedName>
    <definedName name="объем___6___2">#REF!</definedName>
    <definedName name="объем___6___4">#REF!</definedName>
    <definedName name="объем___6___5">NA()</definedName>
    <definedName name="объем___6___6">#REF!</definedName>
    <definedName name="объем___6___8">#REF!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0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8">#REF!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5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к">#REF!</definedName>
    <definedName name="ор">#REF!</definedName>
    <definedName name="орп">[9]Смета!#REF!</definedName>
    <definedName name="Осн_Камер">#REF!</definedName>
    <definedName name="п">#REF!</definedName>
    <definedName name="ПИСС_стац">#REF!</definedName>
    <definedName name="ПИСС_эксп">#REF!</definedName>
    <definedName name="план">[7]топография!#REF!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дзаголовок">#REF!</definedName>
    <definedName name="Подпись1">#REF!</definedName>
    <definedName name="Подпись2">#REF!</definedName>
    <definedName name="Подпись3">#REF!</definedName>
    <definedName name="Подпись4">#REF!</definedName>
    <definedName name="Подпись5">#REF!</definedName>
    <definedName name="Полевые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NA()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NA()</definedName>
    <definedName name="Поправочные_коэффициенты_по_письму_Госстроя_от_25.12.90___10___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р">#REF!</definedName>
    <definedName name="пробная">#REF!</definedName>
    <definedName name="Раздел">#REF!</definedName>
    <definedName name="Расчет">#REF!</definedName>
    <definedName name="Регулярная_часть">#REF!</definedName>
    <definedName name="РРК">#REF!</definedName>
    <definedName name="РСЛ">#REF!</definedName>
    <definedName name="Руководитель">#REF!</definedName>
    <definedName name="санитарное">#REF!</definedName>
    <definedName name="сводный">#REF!</definedName>
    <definedName name="см">#REF!</definedName>
    <definedName name="смета">[0]!смета</definedName>
    <definedName name="Согласование">#REF!</definedName>
    <definedName name="Содерж_Осн_Базы">#REF!</definedName>
    <definedName name="Сортировка">[0]!Сортировка</definedName>
    <definedName name="Составитель">#REF!</definedName>
    <definedName name="Составитель_сметы">#REF!</definedName>
    <definedName name="сроки">#REF!</definedName>
    <definedName name="стадия_П">#REF!</definedName>
    <definedName name="Стадия_проектирования">#REF!</definedName>
    <definedName name="сто">'[10]8'!#REF!</definedName>
    <definedName name="Стоимость">#REF!</definedName>
    <definedName name="СтОф">OFFSET([11]шаблон!$E$3,0,0,COUNTA([11]шаблон!$E$1:$E$65536)-2)</definedName>
    <definedName name="СтПр">OFFSET([11]шаблон!$G$3,0,0,COUNTA([11]шаблон!$G$1:$G$65536)-2)</definedName>
    <definedName name="Строительная_полоса">#REF!</definedName>
    <definedName name="Сургут">NA()</definedName>
    <definedName name="ТекДата">[12]информация!$B$8</definedName>
    <definedName name="Технический_директор">#REF!</definedName>
    <definedName name="топо">#REF!</definedName>
    <definedName name="тттт">#REF!</definedName>
    <definedName name="Участок">#REF!</definedName>
    <definedName name="Характеристика">#REF!</definedName>
    <definedName name="цена">#N/A</definedName>
    <definedName name="цена___0">NA()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4">#REF!</definedName>
    <definedName name="цена___0___0___5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6">#REF!</definedName>
    <definedName name="цена___0___8">#REF!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NA()</definedName>
    <definedName name="цена___10___0">#REF!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8">NA()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5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0">#REF!</definedName>
    <definedName name="цена___2___2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8">#REF!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2">#REF!</definedName>
    <definedName name="цена___3___3">#REF!</definedName>
    <definedName name="цена___3___5">#REF!</definedName>
    <definedName name="цена___3_1">#REF!</definedName>
    <definedName name="цена___3_3">NA()</definedName>
    <definedName name="цена___3_5">#REF!</definedName>
    <definedName name="цена___4">#REF!</definedName>
    <definedName name="цена___4___0">#REF!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5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2">#REF!</definedName>
    <definedName name="цена___4___3">#REF!</definedName>
    <definedName name="цена___4___4">#REF!</definedName>
    <definedName name="цена___4___5">#REF!</definedName>
    <definedName name="цена___4___6">#REF!</definedName>
    <definedName name="цена___4___8">#REF!</definedName>
    <definedName name="цена___4_1">#REF!</definedName>
    <definedName name="цена___4_3">#REF!</definedName>
    <definedName name="цена___4_5">#REF!</definedName>
    <definedName name="цена___5">#REF!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0">#REF!</definedName>
    <definedName name="цена___6___2">#REF!</definedName>
    <definedName name="цена___6___4">#REF!</definedName>
    <definedName name="цена___6___5">NA()</definedName>
    <definedName name="цена___6___6">#REF!</definedName>
    <definedName name="цена___6___8">#REF!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0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8">#REF!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5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п">#REF!</definedName>
    <definedName name="цы">#REF!</definedName>
    <definedName name="Части_и_главы">#REF!</definedName>
    <definedName name="Шапка">#REF!</definedName>
    <definedName name="Шапка2">#REF!</definedName>
    <definedName name="эко">#REF!</definedName>
    <definedName name="эко___0">#REF!</definedName>
    <definedName name="эко_5">#REF!</definedName>
    <definedName name="эпидемия">[0]!эпидемия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58" l="1"/>
  <c r="I9" i="58" s="1"/>
  <c r="I7" i="58" s="1"/>
  <c r="J7" i="58" s="1"/>
  <c r="F11" i="58"/>
  <c r="I11" i="58" s="1"/>
  <c r="I10" i="58" s="1"/>
  <c r="J10" i="58" s="1"/>
  <c r="C28" i="27" l="1"/>
  <c r="C21" i="30" l="1"/>
  <c r="C29" i="27" l="1"/>
  <c r="I85" i="33" l="1"/>
  <c r="F94" i="33"/>
  <c r="C58" i="33"/>
  <c r="D58" i="33" s="1"/>
  <c r="H36" i="33"/>
  <c r="F83" i="33" l="1"/>
  <c r="F82" i="33"/>
  <c r="I9" i="12"/>
  <c r="C31" i="12"/>
  <c r="H31" i="12" s="1"/>
  <c r="F9" i="12"/>
  <c r="B104" i="26" l="1"/>
  <c r="B103" i="26"/>
  <c r="B102" i="26"/>
  <c r="I76" i="26" l="1"/>
  <c r="C56" i="26"/>
  <c r="D56" i="26" s="1"/>
  <c r="F92" i="26" s="1"/>
  <c r="C52" i="26"/>
  <c r="F88" i="26" l="1"/>
  <c r="F91" i="26" l="1"/>
  <c r="D53" i="26" l="1"/>
  <c r="C50" i="26"/>
  <c r="D50" i="26" s="1"/>
  <c r="F70" i="26" s="1"/>
  <c r="I38" i="26"/>
  <c r="I37" i="26"/>
  <c r="F74" i="26" l="1"/>
  <c r="F73" i="26"/>
  <c r="F75" i="26" s="1"/>
  <c r="F79" i="26"/>
  <c r="F83" i="26"/>
  <c r="F82" i="26"/>
  <c r="F84" i="26" l="1"/>
  <c r="F85" i="26"/>
  <c r="F76" i="26"/>
  <c r="J32" i="10" l="1"/>
  <c r="J36" i="10"/>
  <c r="M47" i="27" l="1"/>
  <c r="I56" i="27"/>
  <c r="C55" i="27"/>
  <c r="H57" i="27"/>
  <c r="H56" i="27"/>
  <c r="H55" i="27"/>
  <c r="H28" i="27"/>
  <c r="D12" i="27"/>
  <c r="H29" i="27" l="1"/>
  <c r="I12" i="27" s="1"/>
  <c r="G33" i="10"/>
  <c r="G34" i="10"/>
  <c r="J34" i="10" l="1"/>
  <c r="J33" i="10"/>
  <c r="J41" i="10" s="1"/>
  <c r="M9" i="30" l="1"/>
  <c r="M7" i="30" l="1"/>
  <c r="M19" i="30"/>
  <c r="F9" i="30" l="1"/>
  <c r="K29" i="30" l="1"/>
  <c r="F35" i="30"/>
  <c r="D15" i="30" s="1"/>
  <c r="I153" i="53" l="1"/>
  <c r="I151" i="53"/>
  <c r="I147" i="53"/>
  <c r="I146" i="53"/>
  <c r="I145" i="53"/>
  <c r="J138" i="53"/>
  <c r="J137" i="53"/>
  <c r="I133" i="53"/>
  <c r="C121" i="53" s="1"/>
  <c r="G122" i="53"/>
  <c r="H122" i="53" s="1"/>
  <c r="E121" i="53"/>
  <c r="E117" i="53"/>
  <c r="I110" i="53"/>
  <c r="I108" i="53"/>
  <c r="I104" i="53"/>
  <c r="E78" i="53" s="1"/>
  <c r="I103" i="53"/>
  <c r="I102" i="53"/>
  <c r="J95" i="53"/>
  <c r="J94" i="53"/>
  <c r="I90" i="53"/>
  <c r="C78" i="53" s="1"/>
  <c r="G79" i="53"/>
  <c r="H79" i="53" s="1"/>
  <c r="I67" i="53"/>
  <c r="I65" i="53"/>
  <c r="I61" i="53"/>
  <c r="E32" i="53" s="1"/>
  <c r="I60" i="53"/>
  <c r="I59" i="53"/>
  <c r="J52" i="53"/>
  <c r="J51" i="53"/>
  <c r="I47" i="53"/>
  <c r="C32" i="53" s="1"/>
  <c r="G33" i="53"/>
  <c r="H33" i="53" s="1"/>
  <c r="I145" i="52" l="1"/>
  <c r="I143" i="52"/>
  <c r="I139" i="52"/>
  <c r="E115" i="52" s="1"/>
  <c r="I138" i="52"/>
  <c r="I137" i="52"/>
  <c r="J130" i="52"/>
  <c r="J129" i="52"/>
  <c r="I125" i="52"/>
  <c r="C115" i="52" s="1"/>
  <c r="G116" i="52"/>
  <c r="H116" i="52" s="1"/>
  <c r="E111" i="52"/>
  <c r="I63" i="52"/>
  <c r="I61" i="52"/>
  <c r="I57" i="52"/>
  <c r="E32" i="52" s="1"/>
  <c r="I56" i="52"/>
  <c r="I55" i="52"/>
  <c r="J48" i="52"/>
  <c r="J47" i="52"/>
  <c r="I43" i="52"/>
  <c r="C32" i="52" s="1"/>
  <c r="G33" i="52"/>
  <c r="H33" i="52" s="1"/>
  <c r="I104" i="52"/>
  <c r="I102" i="52"/>
  <c r="I98" i="52"/>
  <c r="E74" i="52" s="1"/>
  <c r="I97" i="52"/>
  <c r="I96" i="52"/>
  <c r="J89" i="52"/>
  <c r="J88" i="52"/>
  <c r="I84" i="52"/>
  <c r="C74" i="52" s="1"/>
  <c r="G75" i="52"/>
  <c r="H75" i="52" s="1"/>
  <c r="C54" i="14" l="1"/>
  <c r="N10" i="12" l="1"/>
  <c r="N9" i="12"/>
  <c r="Q19" i="34"/>
  <c r="Q18" i="34"/>
  <c r="Q17" i="34"/>
  <c r="Q20" i="34" l="1"/>
  <c r="I139" i="32"/>
  <c r="I138" i="32"/>
  <c r="I98" i="32"/>
  <c r="I97" i="32"/>
  <c r="I56" i="32"/>
  <c r="E32" i="32" s="1"/>
  <c r="I55" i="32"/>
  <c r="I54" i="32" l="1"/>
  <c r="J47" i="32"/>
  <c r="J46" i="32"/>
  <c r="I42" i="32"/>
  <c r="C32" i="32" s="1"/>
  <c r="E73" i="32"/>
  <c r="I96" i="32"/>
  <c r="J89" i="32"/>
  <c r="J88" i="32"/>
  <c r="I84" i="32"/>
  <c r="E115" i="32"/>
  <c r="I137" i="32"/>
  <c r="C73" i="32" l="1"/>
  <c r="I125" i="32" l="1"/>
  <c r="J47" i="31"/>
  <c r="J39" i="31"/>
  <c r="J31" i="31"/>
  <c r="D12" i="41"/>
  <c r="D13" i="41" s="1"/>
  <c r="M23" i="23"/>
  <c r="H22" i="3"/>
  <c r="M20" i="21"/>
  <c r="M22" i="13"/>
  <c r="M21" i="28"/>
  <c r="G93" i="24"/>
  <c r="G85" i="24"/>
  <c r="M132" i="24"/>
  <c r="M107" i="14"/>
  <c r="M20" i="17"/>
  <c r="M20" i="18"/>
  <c r="M20" i="20"/>
  <c r="M20" i="37"/>
  <c r="M27" i="36"/>
  <c r="M27" i="34"/>
  <c r="I76" i="33"/>
  <c r="M20" i="22"/>
  <c r="M84" i="14"/>
  <c r="M35" i="14"/>
  <c r="N1" i="16"/>
  <c r="O1" i="15"/>
  <c r="C115" i="32" l="1"/>
  <c r="I12" i="11" l="1"/>
  <c r="N1" i="43"/>
  <c r="E111" i="32" l="1"/>
  <c r="M56" i="14"/>
  <c r="B11" i="51" l="1"/>
  <c r="B10" i="51"/>
  <c r="B11" i="50"/>
  <c r="B10" i="50"/>
  <c r="B11" i="49"/>
  <c r="B10" i="49"/>
  <c r="F11" i="51" l="1"/>
  <c r="F11" i="50"/>
  <c r="F11" i="49"/>
  <c r="R25" i="31" l="1"/>
  <c r="S25" i="31"/>
  <c r="R28" i="31"/>
  <c r="S28" i="31"/>
  <c r="T28" i="31" s="1"/>
  <c r="U28" i="31" s="1"/>
  <c r="K57" i="27"/>
  <c r="J57" i="27"/>
  <c r="I57" i="27"/>
  <c r="K56" i="27"/>
  <c r="L56" i="27" s="1"/>
  <c r="J56" i="27"/>
  <c r="K55" i="27"/>
  <c r="J55" i="27"/>
  <c r="I55" i="27"/>
  <c r="I58" i="27" s="1"/>
  <c r="H58" i="27"/>
  <c r="J58" i="27"/>
  <c r="F58" i="27"/>
  <c r="D42" i="27" s="1"/>
  <c r="E58" i="27"/>
  <c r="D58" i="27"/>
  <c r="C58" i="27"/>
  <c r="G56" i="27"/>
  <c r="G57" i="27"/>
  <c r="T25" i="31" l="1"/>
  <c r="U25" i="31" s="1"/>
  <c r="L57" i="27"/>
  <c r="K58" i="27"/>
  <c r="K140" i="24" l="1"/>
  <c r="J140" i="24"/>
  <c r="I126" i="24" s="1"/>
  <c r="I140" i="24"/>
  <c r="H140" i="24"/>
  <c r="F141" i="24"/>
  <c r="F127" i="24" s="1"/>
  <c r="E141" i="24"/>
  <c r="D126" i="24" s="1"/>
  <c r="D141" i="24"/>
  <c r="D125" i="24" s="1"/>
  <c r="C141" i="24"/>
  <c r="D124" i="24" s="1"/>
  <c r="K141" i="24"/>
  <c r="I127" i="24" s="1"/>
  <c r="J141" i="24"/>
  <c r="I141" i="24"/>
  <c r="H141" i="24"/>
  <c r="I124" i="24" s="1"/>
  <c r="G140" i="24"/>
  <c r="G141" i="24" s="1"/>
  <c r="D127" i="24" l="1"/>
  <c r="I125" i="24"/>
  <c r="I130" i="24" s="1"/>
  <c r="L140" i="24"/>
  <c r="L141" i="24" s="1"/>
  <c r="D122" i="24"/>
  <c r="I129" i="24" l="1"/>
  <c r="I128" i="24"/>
  <c r="I131" i="24"/>
  <c r="I122" i="24" s="1"/>
  <c r="F35" i="43"/>
  <c r="E35" i="43"/>
  <c r="D16" i="43" s="1"/>
  <c r="D35" i="43"/>
  <c r="D15" i="43" s="1"/>
  <c r="C35" i="43"/>
  <c r="D14" i="43" s="1"/>
  <c r="K34" i="43"/>
  <c r="J34" i="43"/>
  <c r="I34" i="43"/>
  <c r="H34" i="43"/>
  <c r="G34" i="43"/>
  <c r="L34" i="43" s="1"/>
  <c r="G33" i="43"/>
  <c r="L33" i="43" s="1"/>
  <c r="K33" i="43"/>
  <c r="I33" i="43"/>
  <c r="H33" i="43"/>
  <c r="K32" i="43"/>
  <c r="J32" i="43"/>
  <c r="I32" i="43"/>
  <c r="H32" i="43"/>
  <c r="K31" i="43"/>
  <c r="J31" i="43"/>
  <c r="I31" i="43"/>
  <c r="H31" i="43"/>
  <c r="K30" i="43"/>
  <c r="J30" i="43"/>
  <c r="I30" i="43"/>
  <c r="H30" i="43"/>
  <c r="K29" i="43"/>
  <c r="J29" i="43"/>
  <c r="I29" i="43"/>
  <c r="H29" i="43"/>
  <c r="G32" i="43"/>
  <c r="L32" i="43" s="1"/>
  <c r="G30" i="43"/>
  <c r="L30" i="43" s="1"/>
  <c r="G29" i="43"/>
  <c r="L29" i="43" s="1"/>
  <c r="K35" i="43" l="1"/>
  <c r="J35" i="43"/>
  <c r="I35" i="43"/>
  <c r="H35" i="43"/>
  <c r="I16" i="43"/>
  <c r="G31" i="43"/>
  <c r="G35" i="43" s="1"/>
  <c r="I15" i="43"/>
  <c r="L31" i="43" l="1"/>
  <c r="L35" i="43" s="1"/>
  <c r="I14" i="43"/>
  <c r="I17" i="43"/>
  <c r="D17" i="43"/>
  <c r="F17" i="43"/>
  <c r="D12" i="43" s="1"/>
  <c r="I20" i="43" l="1"/>
  <c r="I19" i="43"/>
  <c r="I18" i="43"/>
  <c r="I21" i="43" l="1"/>
  <c r="I12" i="43" s="1"/>
  <c r="D9" i="11" l="1"/>
  <c r="K28" i="27" l="1"/>
  <c r="F29" i="27"/>
  <c r="F15" i="27" s="1"/>
  <c r="E29" i="27"/>
  <c r="D29" i="27"/>
  <c r="J28" i="27"/>
  <c r="J29" i="27" s="1"/>
  <c r="I14" i="27" s="1"/>
  <c r="I28" i="27"/>
  <c r="I29" i="27" s="1"/>
  <c r="I13" i="27" s="1"/>
  <c r="G28" i="27"/>
  <c r="G29" i="27" s="1"/>
  <c r="D14" i="27"/>
  <c r="D13" i="27"/>
  <c r="I18" i="27" l="1"/>
  <c r="I16" i="27"/>
  <c r="I17" i="27"/>
  <c r="K29" i="27"/>
  <c r="I15" i="27" s="1"/>
  <c r="I19" i="27" s="1"/>
  <c r="I10" i="27" s="1"/>
  <c r="J20" i="27" s="1"/>
  <c r="J21" i="27" s="1"/>
  <c r="L28" i="27"/>
  <c r="D10" i="27"/>
  <c r="L29" i="27"/>
  <c r="D15" i="27"/>
  <c r="I145" i="32" l="1"/>
  <c r="I143" i="32"/>
  <c r="J130" i="32"/>
  <c r="J129" i="32"/>
  <c r="I104" i="32"/>
  <c r="I102" i="32"/>
  <c r="I62" i="32"/>
  <c r="I60" i="32"/>
  <c r="G116" i="32" l="1"/>
  <c r="H116" i="32" s="1"/>
  <c r="G74" i="32"/>
  <c r="H74" i="32" s="1"/>
  <c r="S44" i="31" l="1"/>
  <c r="J44" i="31"/>
  <c r="R44" i="31" s="1"/>
  <c r="T44" i="31" s="1"/>
  <c r="U44" i="31" s="1"/>
  <c r="P36" i="31"/>
  <c r="M36" i="31"/>
  <c r="J36" i="31"/>
  <c r="G36" i="31"/>
  <c r="S36" i="31"/>
  <c r="S27" i="31"/>
  <c r="J27" i="31"/>
  <c r="G27" i="31"/>
  <c r="S26" i="31"/>
  <c r="J26" i="31"/>
  <c r="G26" i="31"/>
  <c r="S24" i="31"/>
  <c r="R24" i="31"/>
  <c r="M24" i="31"/>
  <c r="N24" i="31" s="1"/>
  <c r="S16" i="31"/>
  <c r="R16" i="31"/>
  <c r="R10" i="31"/>
  <c r="S12" i="31"/>
  <c r="J12" i="31"/>
  <c r="G12" i="31"/>
  <c r="S11" i="31"/>
  <c r="J11" i="31"/>
  <c r="G11" i="31"/>
  <c r="S10" i="31"/>
  <c r="M10" i="31"/>
  <c r="N10" i="31" s="1"/>
  <c r="K34" i="30"/>
  <c r="K33" i="30"/>
  <c r="K32" i="30"/>
  <c r="K31" i="30"/>
  <c r="R27" i="31" l="1"/>
  <c r="R36" i="31"/>
  <c r="R11" i="31"/>
  <c r="R26" i="31"/>
  <c r="T26" i="31" s="1"/>
  <c r="U26" i="31" s="1"/>
  <c r="T27" i="31"/>
  <c r="U27" i="31" s="1"/>
  <c r="T36" i="31"/>
  <c r="U36" i="31" s="1"/>
  <c r="T24" i="31"/>
  <c r="U24" i="31" s="1"/>
  <c r="T16" i="31"/>
  <c r="U16" i="31" s="1"/>
  <c r="R12" i="31"/>
  <c r="T12" i="31" s="1"/>
  <c r="U12" i="31" s="1"/>
  <c r="T11" i="31"/>
  <c r="U11" i="31" s="1"/>
  <c r="T10" i="31"/>
  <c r="U10" i="31" s="1"/>
  <c r="J30" i="37"/>
  <c r="K30" i="37"/>
  <c r="I30" i="37"/>
  <c r="I29" i="37"/>
  <c r="J29" i="37"/>
  <c r="K29" i="37"/>
  <c r="E31" i="37"/>
  <c r="D31" i="37"/>
  <c r="C30" i="37"/>
  <c r="G30" i="37" s="1"/>
  <c r="F28" i="37"/>
  <c r="K28" i="37" s="1"/>
  <c r="C29" i="37"/>
  <c r="H29" i="37" s="1"/>
  <c r="C28" i="37"/>
  <c r="C31" i="37" s="1"/>
  <c r="K31" i="37" l="1"/>
  <c r="H28" i="37"/>
  <c r="U29" i="31"/>
  <c r="G29" i="37"/>
  <c r="L29" i="37"/>
  <c r="H30" i="37"/>
  <c r="L30" i="37" s="1"/>
  <c r="F31" i="37"/>
  <c r="D15" i="37" s="1"/>
  <c r="D14" i="37"/>
  <c r="D13" i="37"/>
  <c r="I15" i="37"/>
  <c r="J28" i="37"/>
  <c r="I28" i="37"/>
  <c r="G28" i="37"/>
  <c r="G31" i="37" s="1"/>
  <c r="D12" i="37"/>
  <c r="F15" i="37" l="1"/>
  <c r="H31" i="37"/>
  <c r="I12" i="37" s="1"/>
  <c r="J31" i="37"/>
  <c r="I14" i="37" s="1"/>
  <c r="I31" i="37"/>
  <c r="I13" i="37" s="1"/>
  <c r="D10" i="37"/>
  <c r="L28" i="37"/>
  <c r="L31" i="37" s="1"/>
  <c r="C63" i="36"/>
  <c r="I18" i="37" l="1"/>
  <c r="I17" i="37"/>
  <c r="I16" i="37"/>
  <c r="I19" i="37"/>
  <c r="I10" i="37" s="1"/>
  <c r="M93" i="14"/>
  <c r="K60" i="36"/>
  <c r="M60" i="36"/>
  <c r="F46" i="36"/>
  <c r="K11" i="36" l="1"/>
  <c r="J61" i="36"/>
  <c r="I45" i="36" s="1"/>
  <c r="I61" i="36"/>
  <c r="I44" i="36" s="1"/>
  <c r="E61" i="36"/>
  <c r="D45" i="36" s="1"/>
  <c r="D61" i="36"/>
  <c r="D44" i="36" s="1"/>
  <c r="L60" i="36"/>
  <c r="F60" i="36"/>
  <c r="F61" i="36" s="1"/>
  <c r="D46" i="36" s="1"/>
  <c r="C59" i="36"/>
  <c r="H59" i="36" s="1"/>
  <c r="H56" i="36"/>
  <c r="D73" i="36"/>
  <c r="D72" i="36"/>
  <c r="D38" i="36"/>
  <c r="D20" i="36" s="1"/>
  <c r="C37" i="36"/>
  <c r="K36" i="36"/>
  <c r="J36" i="36"/>
  <c r="I36" i="36"/>
  <c r="C36" i="36"/>
  <c r="K35" i="36"/>
  <c r="I35" i="36"/>
  <c r="E35" i="36"/>
  <c r="C35" i="36"/>
  <c r="J34" i="36"/>
  <c r="I34" i="36"/>
  <c r="F34" i="36"/>
  <c r="C34" i="36"/>
  <c r="F16" i="36"/>
  <c r="F14" i="36"/>
  <c r="F13" i="36"/>
  <c r="F12" i="36"/>
  <c r="H35" i="36" l="1"/>
  <c r="H36" i="36"/>
  <c r="L36" i="36" s="1"/>
  <c r="G37" i="36"/>
  <c r="H37" i="36"/>
  <c r="J35" i="36"/>
  <c r="F38" i="36"/>
  <c r="D22" i="36" s="1"/>
  <c r="C38" i="36"/>
  <c r="D19" i="36" s="1"/>
  <c r="F11" i="36"/>
  <c r="H34" i="36" s="1"/>
  <c r="G35" i="36"/>
  <c r="K61" i="36"/>
  <c r="I46" i="36" s="1"/>
  <c r="L37" i="36"/>
  <c r="I38" i="36"/>
  <c r="I20" i="36"/>
  <c r="L59" i="36"/>
  <c r="L61" i="36" s="1"/>
  <c r="H61" i="36"/>
  <c r="I43" i="36" s="1"/>
  <c r="C61" i="36"/>
  <c r="D43" i="36" s="1"/>
  <c r="D41" i="36" s="1"/>
  <c r="G59" i="36"/>
  <c r="G60" i="36"/>
  <c r="G36" i="36"/>
  <c r="E38" i="36"/>
  <c r="D21" i="36" s="1"/>
  <c r="I21" i="36"/>
  <c r="G34" i="36"/>
  <c r="F22" i="36" l="1"/>
  <c r="K34" i="36"/>
  <c r="I48" i="36"/>
  <c r="I49" i="36"/>
  <c r="I47" i="36"/>
  <c r="H38" i="36"/>
  <c r="I19" i="36" s="1"/>
  <c r="I23" i="36" s="1"/>
  <c r="D17" i="36"/>
  <c r="G61" i="36"/>
  <c r="J38" i="36"/>
  <c r="K38" i="36"/>
  <c r="I22" i="36" s="1"/>
  <c r="L34" i="36"/>
  <c r="L35" i="36"/>
  <c r="G38" i="36"/>
  <c r="I50" i="36" l="1"/>
  <c r="I41" i="36" s="1"/>
  <c r="J51" i="36" s="1"/>
  <c r="I24" i="36"/>
  <c r="I25" i="36"/>
  <c r="I26" i="36" s="1"/>
  <c r="I17" i="36" s="1"/>
  <c r="L38" i="36"/>
  <c r="L63" i="36" s="1"/>
  <c r="H63" i="36" s="1"/>
  <c r="D44" i="34" l="1"/>
  <c r="C43" i="34"/>
  <c r="H43" i="34" s="1"/>
  <c r="L43" i="34" s="1"/>
  <c r="K42" i="34"/>
  <c r="K40" i="34"/>
  <c r="J40" i="34"/>
  <c r="I40" i="34"/>
  <c r="J39" i="34"/>
  <c r="I39" i="34"/>
  <c r="K39" i="34"/>
  <c r="K38" i="34"/>
  <c r="I38" i="34"/>
  <c r="K37" i="34"/>
  <c r="I37" i="34"/>
  <c r="K12" i="34"/>
  <c r="K11" i="34"/>
  <c r="K9" i="34" s="1"/>
  <c r="J36" i="34"/>
  <c r="I36" i="34"/>
  <c r="F15" i="34"/>
  <c r="C42" i="34"/>
  <c r="G42" i="34" s="1"/>
  <c r="G43" i="34" l="1"/>
  <c r="H42" i="34"/>
  <c r="L42" i="34"/>
  <c r="C37" i="34"/>
  <c r="C38" i="34"/>
  <c r="C41" i="34"/>
  <c r="F14" i="34"/>
  <c r="G41" i="34"/>
  <c r="H41" i="34" l="1"/>
  <c r="L41" i="34" s="1"/>
  <c r="C40" i="34"/>
  <c r="G40" i="34"/>
  <c r="C39" i="34"/>
  <c r="G39" i="34" l="1"/>
  <c r="F10" i="34"/>
  <c r="E37" i="34"/>
  <c r="E38" i="34"/>
  <c r="F11" i="34"/>
  <c r="H37" i="34" s="1"/>
  <c r="D57" i="34"/>
  <c r="D56" i="34"/>
  <c r="E44" i="34" l="1"/>
  <c r="J37" i="34"/>
  <c r="L37" i="34" s="1"/>
  <c r="F12" i="34"/>
  <c r="F36" i="34"/>
  <c r="K36" i="34" s="1"/>
  <c r="G37" i="34"/>
  <c r="G38" i="34"/>
  <c r="F35" i="34"/>
  <c r="C36" i="34"/>
  <c r="H36" i="34" s="1"/>
  <c r="C35" i="34"/>
  <c r="J35" i="34"/>
  <c r="D21" i="34"/>
  <c r="D20" i="34"/>
  <c r="I35" i="34"/>
  <c r="I44" i="34" s="1"/>
  <c r="F95" i="33"/>
  <c r="C44" i="34" l="1"/>
  <c r="D19" i="34" s="1"/>
  <c r="L36" i="34"/>
  <c r="F44" i="34"/>
  <c r="F22" i="34" s="1"/>
  <c r="F9" i="34"/>
  <c r="K35" i="34" s="1"/>
  <c r="K44" i="34" s="1"/>
  <c r="H38" i="34"/>
  <c r="H39" i="34"/>
  <c r="L39" i="34" s="1"/>
  <c r="H40" i="34"/>
  <c r="L40" i="34" s="1"/>
  <c r="J38" i="34"/>
  <c r="L38" i="34" s="1"/>
  <c r="I20" i="34"/>
  <c r="G36" i="34"/>
  <c r="G35" i="34"/>
  <c r="I21" i="34"/>
  <c r="C59" i="33"/>
  <c r="D59" i="33" s="1"/>
  <c r="F79" i="33" s="1"/>
  <c r="F85" i="33" s="1"/>
  <c r="F72" i="33"/>
  <c r="F71" i="33"/>
  <c r="F74" i="33"/>
  <c r="F73" i="33"/>
  <c r="G44" i="34" l="1"/>
  <c r="D22" i="34"/>
  <c r="D17" i="34" s="1"/>
  <c r="H35" i="34"/>
  <c r="H44" i="34" s="1"/>
  <c r="I19" i="34" s="1"/>
  <c r="J44" i="34"/>
  <c r="I22" i="34"/>
  <c r="F75" i="33"/>
  <c r="I24" i="34" l="1"/>
  <c r="I25" i="34"/>
  <c r="I23" i="34"/>
  <c r="L35" i="34"/>
  <c r="L44" i="34" s="1"/>
  <c r="I26" i="34"/>
  <c r="I17" i="34"/>
  <c r="H30" i="30" l="1"/>
  <c r="I30" i="30"/>
  <c r="J30" i="30"/>
  <c r="H31" i="30"/>
  <c r="I31" i="30"/>
  <c r="J31" i="30"/>
  <c r="H32" i="30"/>
  <c r="I32" i="30"/>
  <c r="J32" i="30"/>
  <c r="H33" i="30"/>
  <c r="I33" i="30"/>
  <c r="J33" i="30"/>
  <c r="H34" i="30"/>
  <c r="I34" i="30"/>
  <c r="J34" i="30"/>
  <c r="G31" i="30"/>
  <c r="G32" i="30"/>
  <c r="G33" i="30"/>
  <c r="G34" i="30"/>
  <c r="L34" i="30" l="1"/>
  <c r="L31" i="30"/>
  <c r="L32" i="30"/>
  <c r="L33" i="30"/>
  <c r="G30" i="30"/>
  <c r="E71" i="30"/>
  <c r="D71" i="30"/>
  <c r="E35" i="30"/>
  <c r="D14" i="30" s="1"/>
  <c r="D35" i="30"/>
  <c r="D13" i="30" s="1"/>
  <c r="J29" i="30"/>
  <c r="I14" i="30" s="1"/>
  <c r="I29" i="30"/>
  <c r="C35" i="30"/>
  <c r="D12" i="30" s="1"/>
  <c r="K35" i="30" l="1"/>
  <c r="I15" i="30" s="1"/>
  <c r="I13" i="30"/>
  <c r="I35" i="30"/>
  <c r="G29" i="30"/>
  <c r="G35" i="30" s="1"/>
  <c r="H29" i="30"/>
  <c r="H35" i="30" s="1"/>
  <c r="I12" i="30" s="1"/>
  <c r="J35" i="30"/>
  <c r="I9" i="28"/>
  <c r="D9" i="28"/>
  <c r="H29" i="28" s="1"/>
  <c r="H30" i="28" s="1"/>
  <c r="I12" i="28" s="1"/>
  <c r="F30" i="28"/>
  <c r="D15" i="28" s="1"/>
  <c r="E30" i="28"/>
  <c r="D14" i="28" s="1"/>
  <c r="D30" i="28"/>
  <c r="D13" i="28" s="1"/>
  <c r="C30" i="28"/>
  <c r="D12" i="28" s="1"/>
  <c r="K29" i="28"/>
  <c r="K30" i="28" s="1"/>
  <c r="I15" i="28" s="1"/>
  <c r="J29" i="28"/>
  <c r="J30" i="28" s="1"/>
  <c r="I14" i="28" s="1"/>
  <c r="I29" i="28"/>
  <c r="I30" i="28" s="1"/>
  <c r="I13" i="28" s="1"/>
  <c r="G29" i="28"/>
  <c r="G30" i="28" s="1"/>
  <c r="I17" i="30" l="1"/>
  <c r="F15" i="30"/>
  <c r="D10" i="30" s="1"/>
  <c r="I18" i="30"/>
  <c r="I16" i="30"/>
  <c r="I10" i="30" s="1"/>
  <c r="J20" i="30" s="1"/>
  <c r="L29" i="30"/>
  <c r="L35" i="30" s="1"/>
  <c r="F15" i="28"/>
  <c r="D10" i="28" s="1"/>
  <c r="I17" i="28"/>
  <c r="I18" i="28"/>
  <c r="I16" i="28"/>
  <c r="L29" i="28"/>
  <c r="L30" i="28" s="1"/>
  <c r="I39" i="27"/>
  <c r="D40" i="27"/>
  <c r="G55" i="27"/>
  <c r="G58" i="27" s="1"/>
  <c r="F42" i="27"/>
  <c r="D41" i="27"/>
  <c r="D39" i="27"/>
  <c r="D37" i="27" l="1"/>
  <c r="I19" i="28"/>
  <c r="I10" i="28" s="1"/>
  <c r="I40" i="27"/>
  <c r="I41" i="27"/>
  <c r="I42" i="27"/>
  <c r="L55" i="27"/>
  <c r="L58" i="27" s="1"/>
  <c r="I44" i="27" l="1"/>
  <c r="I43" i="27"/>
  <c r="I45" i="27"/>
  <c r="F69" i="26"/>
  <c r="G102" i="26" s="1"/>
  <c r="I37" i="27" l="1"/>
  <c r="J47" i="27" s="1"/>
  <c r="F108" i="24"/>
  <c r="C71" i="24"/>
  <c r="D71" i="24" s="1"/>
  <c r="C69" i="24"/>
  <c r="D69" i="24" s="1"/>
  <c r="J58" i="24"/>
  <c r="C70" i="24" s="1"/>
  <c r="D70" i="24" s="1"/>
  <c r="J56" i="24"/>
  <c r="C76" i="24" s="1"/>
  <c r="D76" i="24" s="1"/>
  <c r="J55" i="24"/>
  <c r="C75" i="24" s="1"/>
  <c r="D75" i="24" s="1"/>
  <c r="J54" i="24"/>
  <c r="C74" i="24" s="1"/>
  <c r="D74" i="24" s="1"/>
  <c r="J52" i="24"/>
  <c r="J51" i="24"/>
  <c r="J50" i="24"/>
  <c r="J49" i="24"/>
  <c r="J48" i="24"/>
  <c r="I48" i="24"/>
  <c r="J47" i="24"/>
  <c r="I47" i="24"/>
  <c r="J46" i="24"/>
  <c r="I46" i="24"/>
  <c r="J44" i="24"/>
  <c r="J43" i="24"/>
  <c r="I43" i="24"/>
  <c r="J42" i="24"/>
  <c r="I42" i="24"/>
  <c r="D40" i="24"/>
  <c r="C66" i="24" l="1"/>
  <c r="D66" i="24" s="1"/>
  <c r="C65" i="24"/>
  <c r="D65" i="24" s="1"/>
  <c r="F81" i="24" s="1"/>
  <c r="F99" i="24"/>
  <c r="F96" i="24"/>
  <c r="F98" i="24"/>
  <c r="F97" i="24"/>
  <c r="F90" i="24"/>
  <c r="F89" i="24"/>
  <c r="F88" i="24"/>
  <c r="F91" i="24"/>
  <c r="F82" i="24" l="1"/>
  <c r="F83" i="24"/>
  <c r="F80" i="24"/>
  <c r="F92" i="24"/>
  <c r="F100" i="24"/>
  <c r="F84" i="24" l="1"/>
  <c r="F34" i="23" l="1"/>
  <c r="E34" i="23"/>
  <c r="J34" i="23" s="1"/>
  <c r="D34" i="23"/>
  <c r="C34" i="23"/>
  <c r="H34" i="23" s="1"/>
  <c r="I33" i="23"/>
  <c r="J33" i="23"/>
  <c r="F33" i="23"/>
  <c r="C33" i="23"/>
  <c r="H33" i="23" s="1"/>
  <c r="I32" i="23"/>
  <c r="J32" i="23"/>
  <c r="K32" i="23"/>
  <c r="C32" i="23"/>
  <c r="H32" i="23" s="1"/>
  <c r="C31" i="23"/>
  <c r="H31" i="23" s="1"/>
  <c r="F35" i="23"/>
  <c r="K35" i="23" s="1"/>
  <c r="E35" i="23"/>
  <c r="J35" i="23" s="1"/>
  <c r="D35" i="23"/>
  <c r="I35" i="23" s="1"/>
  <c r="C35" i="23"/>
  <c r="H35" i="23" s="1"/>
  <c r="K31" i="23"/>
  <c r="J31" i="23"/>
  <c r="I31" i="23"/>
  <c r="G33" i="23" l="1"/>
  <c r="J36" i="23"/>
  <c r="I18" i="23" s="1"/>
  <c r="C36" i="23"/>
  <c r="F36" i="23"/>
  <c r="D19" i="23" s="1"/>
  <c r="D36" i="23"/>
  <c r="H36" i="23"/>
  <c r="I16" i="23" s="1"/>
  <c r="E36" i="23"/>
  <c r="D18" i="23" s="1"/>
  <c r="G32" i="23"/>
  <c r="L32" i="23"/>
  <c r="K34" i="23"/>
  <c r="K33" i="23"/>
  <c r="K36" i="23" s="1"/>
  <c r="I19" i="23" s="1"/>
  <c r="I34" i="23"/>
  <c r="I36" i="23" s="1"/>
  <c r="I17" i="23" s="1"/>
  <c r="G34" i="23"/>
  <c r="D17" i="23"/>
  <c r="D16" i="23"/>
  <c r="D14" i="23" s="1"/>
  <c r="F19" i="23"/>
  <c r="G35" i="23"/>
  <c r="L35" i="23"/>
  <c r="G31" i="23"/>
  <c r="L31" i="23"/>
  <c r="L34" i="23" l="1"/>
  <c r="L33" i="23"/>
  <c r="I21" i="23"/>
  <c r="I22" i="23"/>
  <c r="I20" i="23"/>
  <c r="G36" i="23"/>
  <c r="L36" i="23"/>
  <c r="I23" i="23" l="1"/>
  <c r="I14" i="23" s="1"/>
  <c r="C37" i="22"/>
  <c r="H37" i="22" s="1"/>
  <c r="H38" i="22" s="1"/>
  <c r="E38" i="22"/>
  <c r="C38" i="22"/>
  <c r="J37" i="22"/>
  <c r="J38" i="22" s="1"/>
  <c r="F38" i="22"/>
  <c r="D38" i="22"/>
  <c r="C30" i="22"/>
  <c r="H30" i="22" s="1"/>
  <c r="D30" i="22"/>
  <c r="I30" i="22" s="1"/>
  <c r="F30" i="22"/>
  <c r="K30" i="22" s="1"/>
  <c r="G30" i="22"/>
  <c r="I37" i="22" l="1"/>
  <c r="I38" i="22" s="1"/>
  <c r="G37" i="22"/>
  <c r="G38" i="22" s="1"/>
  <c r="K37" i="22"/>
  <c r="E74" i="22"/>
  <c r="D74" i="22"/>
  <c r="F31" i="22"/>
  <c r="F15" i="22" s="1"/>
  <c r="E31" i="22"/>
  <c r="D14" i="22" s="1"/>
  <c r="D31" i="22"/>
  <c r="D13" i="22" s="1"/>
  <c r="C31" i="22"/>
  <c r="D12" i="22" s="1"/>
  <c r="K31" i="22"/>
  <c r="I15" i="22" s="1"/>
  <c r="J30" i="22"/>
  <c r="J31" i="22" s="1"/>
  <c r="I31" i="22"/>
  <c r="H31" i="22"/>
  <c r="I12" i="22" s="1"/>
  <c r="G31" i="22"/>
  <c r="L37" i="22" l="1"/>
  <c r="L38" i="22" s="1"/>
  <c r="K38" i="22"/>
  <c r="D15" i="22"/>
  <c r="I14" i="22"/>
  <c r="D10" i="22"/>
  <c r="L30" i="22"/>
  <c r="L31" i="22" s="1"/>
  <c r="I13" i="22"/>
  <c r="I18" i="22" s="1"/>
  <c r="D35" i="21"/>
  <c r="C28" i="21" s="1"/>
  <c r="H28" i="21" s="1"/>
  <c r="E35" i="21"/>
  <c r="F29" i="21" s="1"/>
  <c r="C41" i="21"/>
  <c r="C38" i="21"/>
  <c r="E30" i="21"/>
  <c r="D14" i="21" s="1"/>
  <c r="D30" i="21"/>
  <c r="D13" i="21" s="1"/>
  <c r="J29" i="21"/>
  <c r="I29" i="21"/>
  <c r="H29" i="21"/>
  <c r="K28" i="21"/>
  <c r="J28" i="21"/>
  <c r="I28" i="21"/>
  <c r="H25" i="21"/>
  <c r="D7" i="21"/>
  <c r="J30" i="21" l="1"/>
  <c r="I30" i="21"/>
  <c r="K29" i="21"/>
  <c r="F30" i="21"/>
  <c r="I16" i="22"/>
  <c r="I17" i="22"/>
  <c r="C42" i="21"/>
  <c r="C30" i="21"/>
  <c r="D12" i="21" s="1"/>
  <c r="L29" i="21"/>
  <c r="K30" i="21"/>
  <c r="I15" i="21" s="1"/>
  <c r="G29" i="21"/>
  <c r="G28" i="21"/>
  <c r="H30" i="21"/>
  <c r="I12" i="21" s="1"/>
  <c r="L28" i="21"/>
  <c r="F15" i="21" l="1"/>
  <c r="D10" i="21" s="1"/>
  <c r="D15" i="21"/>
  <c r="I19" i="22"/>
  <c r="I10" i="22" s="1"/>
  <c r="L30" i="21"/>
  <c r="G30" i="21"/>
  <c r="I17" i="21" l="1"/>
  <c r="I16" i="21"/>
  <c r="I18" i="21"/>
  <c r="I19" i="21" l="1"/>
  <c r="I10" i="21"/>
  <c r="G30" i="20"/>
  <c r="F30" i="20"/>
  <c r="E30" i="20"/>
  <c r="D14" i="20" s="1"/>
  <c r="D30" i="20"/>
  <c r="D13" i="20" s="1"/>
  <c r="C30" i="20"/>
  <c r="D12" i="20" s="1"/>
  <c r="F15" i="20"/>
  <c r="K29" i="20"/>
  <c r="K30" i="20" s="1"/>
  <c r="J29" i="20"/>
  <c r="J30" i="20" s="1"/>
  <c r="I14" i="20" s="1"/>
  <c r="I29" i="20"/>
  <c r="I30" i="20" s="1"/>
  <c r="H29" i="20"/>
  <c r="H30" i="20" s="1"/>
  <c r="G29" i="20"/>
  <c r="D10" i="20" l="1"/>
  <c r="I12" i="20"/>
  <c r="I13" i="20"/>
  <c r="I15" i="20"/>
  <c r="L29" i="20"/>
  <c r="L30" i="20" s="1"/>
  <c r="D15" i="20"/>
  <c r="I16" i="20" l="1"/>
  <c r="I18" i="20"/>
  <c r="I17" i="20"/>
  <c r="K29" i="18"/>
  <c r="K30" i="18" s="1"/>
  <c r="J29" i="18"/>
  <c r="J30" i="18" s="1"/>
  <c r="I29" i="18"/>
  <c r="I30" i="18" s="1"/>
  <c r="H29" i="18"/>
  <c r="H30" i="18" s="1"/>
  <c r="I12" i="18" s="1"/>
  <c r="F33" i="18"/>
  <c r="F30" i="18"/>
  <c r="E30" i="18"/>
  <c r="D30" i="18"/>
  <c r="C30" i="18"/>
  <c r="I19" i="20" l="1"/>
  <c r="I10" i="20" s="1"/>
  <c r="L29" i="18"/>
  <c r="L30" i="18" s="1"/>
  <c r="I15" i="18"/>
  <c r="I14" i="18"/>
  <c r="D15" i="18"/>
  <c r="D12" i="18"/>
  <c r="G29" i="18"/>
  <c r="G30" i="18" s="1"/>
  <c r="D14" i="18"/>
  <c r="D13" i="18"/>
  <c r="I13" i="18" l="1"/>
  <c r="F15" i="18"/>
  <c r="D10" i="18" s="1"/>
  <c r="I18" i="18" l="1"/>
  <c r="I17" i="18"/>
  <c r="I16" i="18"/>
  <c r="I19" i="18" s="1"/>
  <c r="E65" i="17"/>
  <c r="D65" i="17"/>
  <c r="F29" i="17"/>
  <c r="F15" i="17" s="1"/>
  <c r="E29" i="17"/>
  <c r="D14" i="17" s="1"/>
  <c r="D29" i="17"/>
  <c r="D13" i="17" s="1"/>
  <c r="C29" i="17"/>
  <c r="D12" i="17" s="1"/>
  <c r="K28" i="17"/>
  <c r="K29" i="17" s="1"/>
  <c r="I15" i="17" s="1"/>
  <c r="J28" i="17"/>
  <c r="J29" i="17" s="1"/>
  <c r="I28" i="17"/>
  <c r="I29" i="17" s="1"/>
  <c r="H28" i="17"/>
  <c r="H29" i="17" s="1"/>
  <c r="I12" i="17" s="1"/>
  <c r="G28" i="17"/>
  <c r="G29" i="17" s="1"/>
  <c r="I14" i="17"/>
  <c r="E65" i="16"/>
  <c r="D65" i="16"/>
  <c r="F29" i="16"/>
  <c r="F15" i="16" s="1"/>
  <c r="E29" i="16"/>
  <c r="D14" i="16" s="1"/>
  <c r="D29" i="16"/>
  <c r="C29" i="16"/>
  <c r="D12" i="16" s="1"/>
  <c r="K28" i="16"/>
  <c r="J28" i="16"/>
  <c r="J29" i="16" s="1"/>
  <c r="I28" i="16"/>
  <c r="I29" i="16" s="1"/>
  <c r="H28" i="16"/>
  <c r="H29" i="16" s="1"/>
  <c r="I12" i="16" s="1"/>
  <c r="G28" i="16"/>
  <c r="G29" i="16" s="1"/>
  <c r="I13" i="16"/>
  <c r="D13" i="16"/>
  <c r="I10" i="18" l="1"/>
  <c r="I18" i="17"/>
  <c r="I17" i="17"/>
  <c r="I16" i="17"/>
  <c r="D10" i="17"/>
  <c r="L28" i="17"/>
  <c r="L29" i="17" s="1"/>
  <c r="D15" i="17"/>
  <c r="I13" i="17"/>
  <c r="L28" i="16"/>
  <c r="L29" i="16" s="1"/>
  <c r="D10" i="16"/>
  <c r="I14" i="16"/>
  <c r="I18" i="16"/>
  <c r="I16" i="16"/>
  <c r="I17" i="16"/>
  <c r="D15" i="16"/>
  <c r="K29" i="16"/>
  <c r="I15" i="16" s="1"/>
  <c r="I19" i="17" l="1"/>
  <c r="I10" i="17" s="1"/>
  <c r="I19" i="16"/>
  <c r="I10" i="16" s="1"/>
  <c r="J28" i="15" l="1"/>
  <c r="I14" i="15" s="1"/>
  <c r="I28" i="15"/>
  <c r="I29" i="15" s="1"/>
  <c r="H28" i="15"/>
  <c r="J29" i="15"/>
  <c r="H29" i="15"/>
  <c r="E29" i="15"/>
  <c r="D29" i="15"/>
  <c r="C29" i="15"/>
  <c r="F28" i="15"/>
  <c r="K28" i="15" s="1"/>
  <c r="K29" i="15" s="1"/>
  <c r="F29" i="15" l="1"/>
  <c r="I13" i="15"/>
  <c r="E65" i="15"/>
  <c r="F15" i="15"/>
  <c r="D14" i="15"/>
  <c r="I15" i="15"/>
  <c r="G28" i="15"/>
  <c r="G29" i="15" s="1"/>
  <c r="D15" i="15"/>
  <c r="D13" i="15"/>
  <c r="D65" i="15" l="1"/>
  <c r="L28" i="15"/>
  <c r="L29" i="15" s="1"/>
  <c r="F123" i="14"/>
  <c r="D12" i="15" l="1"/>
  <c r="D10" i="15" s="1"/>
  <c r="I12" i="15" l="1"/>
  <c r="I17" i="15" l="1"/>
  <c r="I18" i="15"/>
  <c r="I16" i="15"/>
  <c r="I78" i="14"/>
  <c r="I77" i="14"/>
  <c r="K93" i="14"/>
  <c r="K94" i="14" s="1"/>
  <c r="I79" i="14" s="1"/>
  <c r="F93" i="14"/>
  <c r="G93" i="14" s="1"/>
  <c r="C92" i="14"/>
  <c r="H92" i="14" s="1"/>
  <c r="L92" i="14" s="1"/>
  <c r="J94" i="14"/>
  <c r="I94" i="14"/>
  <c r="I19" i="15" l="1"/>
  <c r="I10" i="15" s="1"/>
  <c r="H94" i="14"/>
  <c r="I76" i="14" s="1"/>
  <c r="L93" i="14"/>
  <c r="L94" i="14" s="1"/>
  <c r="I80" i="14" l="1"/>
  <c r="I82" i="14"/>
  <c r="I74" i="14"/>
  <c r="K85" i="14" s="1"/>
  <c r="I81" i="14"/>
  <c r="I83" i="14"/>
  <c r="K102" i="14"/>
  <c r="K120" i="14"/>
  <c r="I102" i="14" s="1"/>
  <c r="J120" i="14"/>
  <c r="I101" i="14" s="1"/>
  <c r="I120" i="14"/>
  <c r="I100" i="14" s="1"/>
  <c r="H120" i="14"/>
  <c r="I99" i="14" s="1"/>
  <c r="F120" i="14"/>
  <c r="D102" i="14" s="1"/>
  <c r="E120" i="14"/>
  <c r="D101" i="14" s="1"/>
  <c r="D120" i="14"/>
  <c r="D100" i="14" s="1"/>
  <c r="C120" i="14"/>
  <c r="D99" i="14" s="1"/>
  <c r="F102" i="14"/>
  <c r="L119" i="14"/>
  <c r="L118" i="14"/>
  <c r="L117" i="14"/>
  <c r="L116" i="14"/>
  <c r="L115" i="14"/>
  <c r="G119" i="14"/>
  <c r="G118" i="14"/>
  <c r="G117" i="14"/>
  <c r="G116" i="14"/>
  <c r="G115" i="14"/>
  <c r="L120" i="14" l="1"/>
  <c r="I105" i="14"/>
  <c r="I103" i="14"/>
  <c r="I104" i="14"/>
  <c r="I106" i="14" s="1"/>
  <c r="I97" i="14"/>
  <c r="K108" i="14" s="1"/>
  <c r="D97" i="14"/>
  <c r="G120" i="14"/>
  <c r="C55" i="14"/>
  <c r="G55" i="14" s="1"/>
  <c r="F94" i="14"/>
  <c r="E94" i="14"/>
  <c r="D94" i="14"/>
  <c r="K70" i="14"/>
  <c r="J70" i="14"/>
  <c r="I70" i="14"/>
  <c r="H70" i="14"/>
  <c r="G70" i="14"/>
  <c r="L69" i="14"/>
  <c r="G69" i="14"/>
  <c r="L68" i="14"/>
  <c r="G68" i="14"/>
  <c r="J67" i="14"/>
  <c r="I67" i="14"/>
  <c r="F67" i="14"/>
  <c r="H66" i="14"/>
  <c r="L66" i="14" s="1"/>
  <c r="L65" i="14"/>
  <c r="E65" i="14"/>
  <c r="C65" i="14" s="1"/>
  <c r="J64" i="14"/>
  <c r="I64" i="14"/>
  <c r="F64" i="14"/>
  <c r="K64" i="14" s="1"/>
  <c r="C64" i="14"/>
  <c r="H64" i="14" s="1"/>
  <c r="K63" i="14"/>
  <c r="I63" i="14"/>
  <c r="E63" i="14"/>
  <c r="C63" i="14" s="1"/>
  <c r="H63" i="14" s="1"/>
  <c r="K62" i="14"/>
  <c r="J62" i="14"/>
  <c r="I62" i="14"/>
  <c r="C62" i="14"/>
  <c r="H62" i="14" s="1"/>
  <c r="K61" i="14"/>
  <c r="J61" i="14"/>
  <c r="I61" i="14"/>
  <c r="C61" i="14"/>
  <c r="H61" i="14" s="1"/>
  <c r="L60" i="14"/>
  <c r="C60" i="14"/>
  <c r="G60" i="14" s="1"/>
  <c r="L59" i="14"/>
  <c r="C59" i="14"/>
  <c r="G59" i="14" s="1"/>
  <c r="L58" i="14"/>
  <c r="C58" i="14"/>
  <c r="G58" i="14" s="1"/>
  <c r="K57" i="14"/>
  <c r="J57" i="14"/>
  <c r="I57" i="14"/>
  <c r="C57" i="14"/>
  <c r="H57" i="14" s="1"/>
  <c r="K56" i="14"/>
  <c r="J56" i="14"/>
  <c r="I56" i="14"/>
  <c r="C56" i="14"/>
  <c r="G56" i="14" s="1"/>
  <c r="K55" i="14"/>
  <c r="J55" i="14"/>
  <c r="I55" i="14"/>
  <c r="J54" i="14"/>
  <c r="I54" i="14"/>
  <c r="F54" i="14"/>
  <c r="K54" i="14" s="1"/>
  <c r="H54" i="14"/>
  <c r="K53" i="14"/>
  <c r="J53" i="14"/>
  <c r="I53" i="14"/>
  <c r="C53" i="14"/>
  <c r="H53" i="14" s="1"/>
  <c r="L52" i="14"/>
  <c r="K51" i="14"/>
  <c r="J51" i="14"/>
  <c r="I51" i="14"/>
  <c r="C51" i="14"/>
  <c r="H51" i="14" s="1"/>
  <c r="K50" i="14"/>
  <c r="J50" i="14"/>
  <c r="I50" i="14"/>
  <c r="C50" i="14"/>
  <c r="H50" i="14" s="1"/>
  <c r="K49" i="14"/>
  <c r="J49" i="14"/>
  <c r="I49" i="14"/>
  <c r="C49" i="14"/>
  <c r="H49" i="14" s="1"/>
  <c r="K48" i="14"/>
  <c r="J48" i="14"/>
  <c r="I48" i="14"/>
  <c r="C48" i="14"/>
  <c r="H48" i="14" s="1"/>
  <c r="L47" i="14"/>
  <c r="C47" i="14"/>
  <c r="G47" i="14" s="1"/>
  <c r="K46" i="14"/>
  <c r="J46" i="14"/>
  <c r="I46" i="14"/>
  <c r="C46" i="14"/>
  <c r="H46" i="14" s="1"/>
  <c r="L45" i="14"/>
  <c r="C45" i="14"/>
  <c r="G45" i="14" s="1"/>
  <c r="D44" i="14"/>
  <c r="D71" i="14" s="1"/>
  <c r="D28" i="14" s="1"/>
  <c r="H41" i="14"/>
  <c r="H89" i="14" s="1"/>
  <c r="H112" i="14" s="1"/>
  <c r="C41" i="14"/>
  <c r="H55" i="14" l="1"/>
  <c r="C94" i="14"/>
  <c r="L57" i="14"/>
  <c r="L64" i="14"/>
  <c r="E44" i="14"/>
  <c r="E71" i="14" s="1"/>
  <c r="D29" i="14" s="1"/>
  <c r="L51" i="14"/>
  <c r="G51" i="14"/>
  <c r="I44" i="14"/>
  <c r="I71" i="14" s="1"/>
  <c r="K67" i="14"/>
  <c r="G46" i="14"/>
  <c r="L46" i="14"/>
  <c r="C52" i="14"/>
  <c r="G52" i="14" s="1"/>
  <c r="H56" i="14"/>
  <c r="L56" i="14" s="1"/>
  <c r="G92" i="14"/>
  <c r="G50" i="14"/>
  <c r="L50" i="14"/>
  <c r="L53" i="14"/>
  <c r="L55" i="14"/>
  <c r="C67" i="14"/>
  <c r="L70" i="14"/>
  <c r="L48" i="14"/>
  <c r="L61" i="14"/>
  <c r="L49" i="14"/>
  <c r="L54" i="14"/>
  <c r="L62" i="14"/>
  <c r="G49" i="14"/>
  <c r="G53" i="14"/>
  <c r="G62" i="14"/>
  <c r="G63" i="14"/>
  <c r="G64" i="14"/>
  <c r="G65" i="14"/>
  <c r="K44" i="14"/>
  <c r="K71" i="14" s="1"/>
  <c r="I30" i="14" s="1"/>
  <c r="G48" i="14"/>
  <c r="G57" i="14"/>
  <c r="G61" i="14"/>
  <c r="J63" i="14"/>
  <c r="J44" i="14" s="1"/>
  <c r="J71" i="14" s="1"/>
  <c r="I29" i="14" s="1"/>
  <c r="F44" i="14"/>
  <c r="F71" i="14" s="1"/>
  <c r="D30" i="14" s="1"/>
  <c r="G54" i="14"/>
  <c r="I28" i="14" l="1"/>
  <c r="G94" i="14"/>
  <c r="L63" i="14"/>
  <c r="C44" i="14"/>
  <c r="C71" i="14" s="1"/>
  <c r="D27" i="14" s="1"/>
  <c r="D25" i="14" s="1"/>
  <c r="G67" i="14"/>
  <c r="G44" i="14" s="1"/>
  <c r="G71" i="14" s="1"/>
  <c r="H67" i="14"/>
  <c r="F30" i="14"/>
  <c r="F39" i="13"/>
  <c r="E39" i="13"/>
  <c r="D39" i="13"/>
  <c r="C39" i="13"/>
  <c r="K38" i="13"/>
  <c r="J38" i="13"/>
  <c r="I38" i="13"/>
  <c r="H38" i="13"/>
  <c r="G38" i="13"/>
  <c r="K37" i="13"/>
  <c r="J37" i="13"/>
  <c r="I37" i="13"/>
  <c r="H37" i="13"/>
  <c r="G37" i="13"/>
  <c r="K36" i="13"/>
  <c r="J36" i="13"/>
  <c r="I36" i="13"/>
  <c r="H36" i="13"/>
  <c r="G36" i="13"/>
  <c r="K35" i="13"/>
  <c r="J35" i="13"/>
  <c r="I35" i="13"/>
  <c r="H35" i="13"/>
  <c r="G35" i="13"/>
  <c r="F34" i="13"/>
  <c r="E34" i="13"/>
  <c r="D34" i="13"/>
  <c r="K33" i="13"/>
  <c r="J33" i="13"/>
  <c r="I33" i="13"/>
  <c r="H33" i="13"/>
  <c r="L33" i="13" s="1"/>
  <c r="G33" i="13"/>
  <c r="K32" i="13"/>
  <c r="J32" i="13"/>
  <c r="I32" i="13"/>
  <c r="H32" i="13"/>
  <c r="G32" i="13"/>
  <c r="K31" i="13"/>
  <c r="J31" i="13"/>
  <c r="I31" i="13"/>
  <c r="H31" i="13"/>
  <c r="L31" i="13" s="1"/>
  <c r="G31" i="13"/>
  <c r="K30" i="13"/>
  <c r="J30" i="13"/>
  <c r="I30" i="13"/>
  <c r="C30" i="13"/>
  <c r="H30" i="13" s="1"/>
  <c r="H34" i="13" l="1"/>
  <c r="L37" i="13"/>
  <c r="D40" i="13"/>
  <c r="D14" i="13" s="1"/>
  <c r="I34" i="13"/>
  <c r="G39" i="13"/>
  <c r="L36" i="13"/>
  <c r="E40" i="13"/>
  <c r="D15" i="13" s="1"/>
  <c r="L32" i="13"/>
  <c r="I39" i="13"/>
  <c r="I40" i="13" s="1"/>
  <c r="L38" i="13"/>
  <c r="F40" i="13"/>
  <c r="D16" i="13" s="1"/>
  <c r="J39" i="13"/>
  <c r="L30" i="13"/>
  <c r="L34" i="13" s="1"/>
  <c r="K34" i="13"/>
  <c r="K40" i="13" s="1"/>
  <c r="H39" i="13"/>
  <c r="H40" i="13" s="1"/>
  <c r="I13" i="13" s="1"/>
  <c r="K39" i="13"/>
  <c r="L67" i="14"/>
  <c r="L44" i="14" s="1"/>
  <c r="L71" i="14" s="1"/>
  <c r="H44" i="14"/>
  <c r="H71" i="14" s="1"/>
  <c r="I27" i="14" s="1"/>
  <c r="J34" i="13"/>
  <c r="L35" i="13"/>
  <c r="G30" i="13"/>
  <c r="G34" i="13" s="1"/>
  <c r="G40" i="13" s="1"/>
  <c r="C34" i="13"/>
  <c r="C40" i="13" s="1"/>
  <c r="D13" i="13" s="1"/>
  <c r="J40" i="13" l="1"/>
  <c r="I15" i="13" s="1"/>
  <c r="F16" i="13"/>
  <c r="D11" i="13" s="1"/>
  <c r="L39" i="13"/>
  <c r="L40" i="13" s="1"/>
  <c r="I33" i="14"/>
  <c r="I32" i="14"/>
  <c r="I31" i="14"/>
  <c r="I14" i="13"/>
  <c r="I16" i="13"/>
  <c r="I17" i="13" l="1"/>
  <c r="I18" i="13"/>
  <c r="I19" i="13"/>
  <c r="I34" i="14"/>
  <c r="I25" i="14" s="1"/>
  <c r="E71" i="12"/>
  <c r="D58" i="12"/>
  <c r="D57" i="12"/>
  <c r="D51" i="12"/>
  <c r="D48" i="12"/>
  <c r="D47" i="12"/>
  <c r="C47" i="12"/>
  <c r="J35" i="12"/>
  <c r="I35" i="12"/>
  <c r="F35" i="12"/>
  <c r="F18" i="12" s="1"/>
  <c r="E35" i="12"/>
  <c r="D17" i="12" s="1"/>
  <c r="D35" i="12"/>
  <c r="D16" i="12" s="1"/>
  <c r="K34" i="12"/>
  <c r="K35" i="12" s="1"/>
  <c r="I18" i="12" s="1"/>
  <c r="L33" i="12"/>
  <c r="G33" i="12"/>
  <c r="H32" i="12"/>
  <c r="L32" i="12" s="1"/>
  <c r="I20" i="13" l="1"/>
  <c r="I11" i="13"/>
  <c r="D18" i="12"/>
  <c r="D71" i="12"/>
  <c r="H34" i="12"/>
  <c r="L34" i="12" s="1"/>
  <c r="C35" i="12"/>
  <c r="D15" i="12" s="1"/>
  <c r="D13" i="12" s="1"/>
  <c r="G31" i="12"/>
  <c r="G32" i="12"/>
  <c r="G35" i="12" l="1"/>
  <c r="L31" i="12"/>
  <c r="L35" i="12" s="1"/>
  <c r="H35" i="12"/>
  <c r="I15" i="12" s="1"/>
  <c r="I19" i="12" l="1"/>
  <c r="I20" i="12"/>
  <c r="F13" i="11"/>
  <c r="D13" i="11" s="1"/>
  <c r="G13" i="11" s="1"/>
  <c r="G14" i="11" s="1"/>
  <c r="E14" i="11"/>
  <c r="E18" i="11" s="1"/>
  <c r="I13" i="12" l="1"/>
  <c r="J23" i="12" s="1"/>
  <c r="I24" i="12" s="1"/>
  <c r="D14" i="11"/>
  <c r="F14" i="11"/>
  <c r="F18" i="11" s="1"/>
  <c r="D17" i="11" l="1"/>
  <c r="G17" i="11" s="1"/>
  <c r="D15" i="11"/>
  <c r="G15" i="11"/>
  <c r="D16" i="11"/>
  <c r="G16" i="11" s="1"/>
  <c r="D28" i="31"/>
  <c r="H41" i="10"/>
  <c r="F47" i="10"/>
  <c r="G41" i="10"/>
  <c r="F50" i="10" l="1"/>
  <c r="F51" i="10" s="1"/>
  <c r="G18" i="11"/>
  <c r="D18" i="11"/>
  <c r="I41" i="10"/>
  <c r="F53" i="10" l="1"/>
  <c r="F46" i="10" s="1"/>
  <c r="D9" i="3"/>
  <c r="G19" i="3" l="1"/>
  <c r="E15" i="3"/>
  <c r="E20" i="3" s="1"/>
  <c r="F15" i="3"/>
  <c r="F20" i="3" s="1"/>
  <c r="G12" i="3"/>
  <c r="G13" i="3"/>
  <c r="G14" i="3"/>
  <c r="D11" i="3"/>
  <c r="D15" i="3" s="1"/>
  <c r="G11" i="3" l="1"/>
  <c r="G15" i="3" s="1"/>
  <c r="D17" i="3"/>
  <c r="G17" i="3" s="1"/>
  <c r="D16" i="3"/>
  <c r="G16" i="3" s="1"/>
  <c r="D18" i="3"/>
  <c r="G18" i="3" s="1"/>
  <c r="D20" i="3" l="1"/>
  <c r="G20" i="3"/>
  <c r="G33" i="32" l="1"/>
  <c r="H33" i="32" s="1"/>
  <c r="J24" i="23" l="1"/>
  <c r="J20" i="37"/>
  <c r="I21" i="37" s="1"/>
  <c r="U45" i="31" l="1"/>
  <c r="F76" i="33"/>
  <c r="F70" i="33" s="1"/>
  <c r="I93" i="33" s="1"/>
  <c r="J27" i="36"/>
  <c r="J20" i="16"/>
  <c r="I21" i="16" s="1"/>
  <c r="J27" i="34"/>
  <c r="I28" i="34" s="1"/>
  <c r="D24" i="31" s="1"/>
  <c r="F78" i="33"/>
  <c r="G94" i="33" s="1"/>
  <c r="I94" i="33" s="1"/>
  <c r="J20" i="15"/>
  <c r="I21" i="15" s="1"/>
  <c r="J20" i="22"/>
  <c r="J20" i="17"/>
  <c r="I21" i="17" s="1"/>
  <c r="G22" i="3"/>
  <c r="G23" i="3" s="1"/>
  <c r="G24" i="3" s="1"/>
  <c r="D14" i="41"/>
  <c r="J21" i="21"/>
  <c r="K36" i="14"/>
  <c r="J48" i="27"/>
  <c r="J20" i="18"/>
  <c r="I21" i="18" s="1"/>
  <c r="J20" i="20"/>
  <c r="I21" i="20" s="1"/>
  <c r="G101" i="24"/>
  <c r="F101" i="24" s="1"/>
  <c r="F95" i="24" s="1"/>
  <c r="G110" i="24" s="1"/>
  <c r="H110" i="24" s="1"/>
  <c r="F93" i="24"/>
  <c r="F87" i="24" s="1"/>
  <c r="G109" i="24" s="1"/>
  <c r="H109" i="24" s="1"/>
  <c r="I21" i="28"/>
  <c r="I22" i="13"/>
  <c r="G20" i="11"/>
  <c r="G21" i="11" s="1"/>
  <c r="G22" i="11" s="1"/>
  <c r="L123" i="14" l="1"/>
  <c r="K123" i="14" s="1"/>
  <c r="D26" i="31" s="1"/>
  <c r="M38" i="14"/>
  <c r="I22" i="20"/>
  <c r="I23" i="20"/>
  <c r="D25" i="31"/>
  <c r="G111" i="24"/>
  <c r="H111" i="24" s="1"/>
  <c r="J22" i="22"/>
  <c r="K22" i="22" s="1"/>
  <c r="J23" i="22"/>
  <c r="K23" i="22" s="1"/>
  <c r="J132" i="24"/>
  <c r="I133" i="24" s="1"/>
  <c r="F85" i="24"/>
  <c r="F79" i="24" s="1"/>
  <c r="G108" i="24" s="1"/>
  <c r="H108" i="24" s="1"/>
  <c r="I95" i="33"/>
  <c r="G95" i="33" s="1"/>
  <c r="F78" i="26" l="1"/>
  <c r="G103" i="26" s="1"/>
  <c r="I94" i="26"/>
  <c r="F94" i="26" s="1"/>
  <c r="D36" i="31"/>
  <c r="I112" i="24"/>
  <c r="D27" i="31"/>
  <c r="D44" i="31" l="1"/>
  <c r="F87" i="26"/>
  <c r="G104" i="26" s="1"/>
  <c r="B32" i="53" l="1"/>
  <c r="B32" i="52"/>
  <c r="B73" i="32"/>
  <c r="B72" i="32" s="1"/>
  <c r="B121" i="53"/>
  <c r="B115" i="52"/>
  <c r="B115" i="32"/>
  <c r="B114" i="32" s="1"/>
  <c r="D73" i="32"/>
  <c r="D72" i="32" s="1"/>
  <c r="G105" i="26" l="1"/>
  <c r="D32" i="52"/>
  <c r="B31" i="52"/>
  <c r="B35" i="52" s="1"/>
  <c r="B37" i="52" s="1"/>
  <c r="B38" i="52" s="1"/>
  <c r="B31" i="53"/>
  <c r="B35" i="53" s="1"/>
  <c r="B37" i="53" s="1"/>
  <c r="B38" i="53" s="1"/>
  <c r="D32" i="53"/>
  <c r="D115" i="32"/>
  <c r="D114" i="32" s="1"/>
  <c r="B120" i="53"/>
  <c r="D121" i="53"/>
  <c r="B114" i="52"/>
  <c r="D115" i="52"/>
  <c r="F73" i="32"/>
  <c r="F72" i="32" s="1"/>
  <c r="D31" i="53" l="1"/>
  <c r="F32" i="53"/>
  <c r="D31" i="52"/>
  <c r="F32" i="52"/>
  <c r="F115" i="32"/>
  <c r="F114" i="32" s="1"/>
  <c r="B124" i="53"/>
  <c r="B126" i="53" s="1"/>
  <c r="B127" i="53" s="1"/>
  <c r="I120" i="53"/>
  <c r="F115" i="52"/>
  <c r="D114" i="52"/>
  <c r="B78" i="53"/>
  <c r="B74" i="52"/>
  <c r="B32" i="32"/>
  <c r="B118" i="52"/>
  <c r="B120" i="52" s="1"/>
  <c r="B121" i="52" s="1"/>
  <c r="I114" i="52"/>
  <c r="F121" i="53"/>
  <c r="D120" i="53"/>
  <c r="B118" i="32"/>
  <c r="B120" i="32" s="1"/>
  <c r="B121" i="32" s="1"/>
  <c r="I114" i="32"/>
  <c r="B76" i="32"/>
  <c r="B78" i="32" s="1"/>
  <c r="B79" i="32" s="1"/>
  <c r="G73" i="32"/>
  <c r="G75" i="32" s="1"/>
  <c r="H75" i="32" s="1"/>
  <c r="C10" i="50"/>
  <c r="C11" i="50"/>
  <c r="C11" i="51"/>
  <c r="C10" i="51"/>
  <c r="G115" i="32" l="1"/>
  <c r="H115" i="32" s="1"/>
  <c r="D28" i="53"/>
  <c r="D28" i="52"/>
  <c r="F31" i="52"/>
  <c r="G32" i="52"/>
  <c r="G34" i="52" s="1"/>
  <c r="H34" i="52" s="1"/>
  <c r="D27" i="53"/>
  <c r="D27" i="52"/>
  <c r="F31" i="53"/>
  <c r="G32" i="53"/>
  <c r="G34" i="53" s="1"/>
  <c r="H34" i="53" s="1"/>
  <c r="F120" i="53"/>
  <c r="G121" i="53"/>
  <c r="G123" i="53" s="1"/>
  <c r="H123" i="53" s="1"/>
  <c r="B73" i="52"/>
  <c r="B77" i="52" s="1"/>
  <c r="D74" i="52"/>
  <c r="F114" i="52"/>
  <c r="G115" i="52"/>
  <c r="G117" i="52" s="1"/>
  <c r="H117" i="52" s="1"/>
  <c r="B77" i="53"/>
  <c r="B81" i="53" s="1"/>
  <c r="D78" i="53"/>
  <c r="D116" i="53"/>
  <c r="D110" i="52"/>
  <c r="D117" i="53"/>
  <c r="D111" i="52"/>
  <c r="B31" i="32"/>
  <c r="B35" i="32" s="1"/>
  <c r="B150" i="32" s="1"/>
  <c r="D32" i="32"/>
  <c r="D111" i="32"/>
  <c r="E11" i="51"/>
  <c r="C12" i="51"/>
  <c r="C13" i="51" s="1"/>
  <c r="C14" i="51" s="1"/>
  <c r="E11" i="50"/>
  <c r="D69" i="32"/>
  <c r="C12" i="50"/>
  <c r="C13" i="50" s="1"/>
  <c r="C14" i="50" s="1"/>
  <c r="H73" i="32"/>
  <c r="H72" i="32" s="1"/>
  <c r="H71" i="32" s="1"/>
  <c r="E10" i="51"/>
  <c r="D110" i="32"/>
  <c r="D68" i="32"/>
  <c r="E10" i="50"/>
  <c r="G117" i="32" l="1"/>
  <c r="H117" i="32" s="1"/>
  <c r="H114" i="32" s="1"/>
  <c r="H121" i="53"/>
  <c r="H120" i="53" s="1"/>
  <c r="H32" i="53"/>
  <c r="H31" i="53" s="1"/>
  <c r="H30" i="53" s="1"/>
  <c r="H27" i="52"/>
  <c r="F27" i="52"/>
  <c r="F28" i="52"/>
  <c r="D29" i="52"/>
  <c r="D26" i="52"/>
  <c r="H28" i="52"/>
  <c r="H32" i="52"/>
  <c r="H31" i="52" s="1"/>
  <c r="H30" i="52" s="1"/>
  <c r="D29" i="53"/>
  <c r="F28" i="53"/>
  <c r="D26" i="53"/>
  <c r="H28" i="53"/>
  <c r="H27" i="53"/>
  <c r="F27" i="53"/>
  <c r="H115" i="52"/>
  <c r="H114" i="52" s="1"/>
  <c r="H113" i="52" s="1"/>
  <c r="D31" i="32"/>
  <c r="F32" i="32"/>
  <c r="F31" i="32" s="1"/>
  <c r="D118" i="53"/>
  <c r="D115" i="53"/>
  <c r="H117" i="53"/>
  <c r="F117" i="53"/>
  <c r="B158" i="53"/>
  <c r="B83" i="53"/>
  <c r="B160" i="53" s="1"/>
  <c r="D73" i="52"/>
  <c r="F74" i="52"/>
  <c r="H110" i="52"/>
  <c r="F110" i="52"/>
  <c r="B79" i="52"/>
  <c r="B152" i="52" s="1"/>
  <c r="B150" i="52"/>
  <c r="H116" i="53"/>
  <c r="F116" i="53"/>
  <c r="H119" i="53"/>
  <c r="F111" i="52"/>
  <c r="H111" i="52"/>
  <c r="D112" i="52"/>
  <c r="D109" i="52"/>
  <c r="F78" i="53"/>
  <c r="D77" i="53"/>
  <c r="E12" i="50"/>
  <c r="E13" i="50" s="1"/>
  <c r="E14" i="50" s="1"/>
  <c r="D67" i="32"/>
  <c r="H69" i="32"/>
  <c r="F69" i="32"/>
  <c r="D70" i="32"/>
  <c r="F68" i="32"/>
  <c r="H68" i="32"/>
  <c r="H111" i="32"/>
  <c r="F111" i="32"/>
  <c r="D112" i="32"/>
  <c r="D109" i="32"/>
  <c r="B37" i="32"/>
  <c r="B152" i="32" s="1"/>
  <c r="H110" i="32"/>
  <c r="F110" i="32"/>
  <c r="E12" i="51"/>
  <c r="H109" i="52" l="1"/>
  <c r="H26" i="52"/>
  <c r="H26" i="53"/>
  <c r="H39" i="53" s="1"/>
  <c r="F109" i="52"/>
  <c r="F26" i="52"/>
  <c r="H29" i="53"/>
  <c r="F29" i="53"/>
  <c r="D35" i="53"/>
  <c r="D37" i="53" s="1"/>
  <c r="D38" i="53" s="1"/>
  <c r="H29" i="52"/>
  <c r="F29" i="52"/>
  <c r="D35" i="52"/>
  <c r="D37" i="52" s="1"/>
  <c r="D38" i="52" s="1"/>
  <c r="F26" i="53"/>
  <c r="B84" i="53"/>
  <c r="B161" i="53" s="1"/>
  <c r="H115" i="53"/>
  <c r="H128" i="53" s="1"/>
  <c r="G78" i="53"/>
  <c r="G80" i="53" s="1"/>
  <c r="H80" i="53" s="1"/>
  <c r="F77" i="53"/>
  <c r="G74" i="52"/>
  <c r="G76" i="52" s="1"/>
  <c r="H76" i="52" s="1"/>
  <c r="F73" i="52"/>
  <c r="H118" i="53"/>
  <c r="F118" i="53"/>
  <c r="D124" i="53"/>
  <c r="D126" i="53" s="1"/>
  <c r="D127" i="53" s="1"/>
  <c r="H112" i="52"/>
  <c r="F112" i="52"/>
  <c r="D118" i="52"/>
  <c r="D120" i="52" s="1"/>
  <c r="D121" i="52" s="1"/>
  <c r="B80" i="52"/>
  <c r="B153" i="52" s="1"/>
  <c r="F115" i="53"/>
  <c r="C10" i="49"/>
  <c r="C11" i="49"/>
  <c r="F67" i="32"/>
  <c r="B38" i="32"/>
  <c r="B153" i="32" s="1"/>
  <c r="H109" i="32"/>
  <c r="H67" i="32"/>
  <c r="F109" i="32"/>
  <c r="F70" i="32"/>
  <c r="H70" i="32"/>
  <c r="D76" i="32"/>
  <c r="D78" i="32" s="1"/>
  <c r="D79" i="32" s="1"/>
  <c r="E13" i="51"/>
  <c r="E14" i="51" s="1"/>
  <c r="G32" i="32"/>
  <c r="H113" i="32"/>
  <c r="H112" i="32"/>
  <c r="F112" i="32"/>
  <c r="D118" i="32"/>
  <c r="H118" i="52" l="1"/>
  <c r="H119" i="52" s="1"/>
  <c r="H35" i="52"/>
  <c r="H36" i="52" s="1"/>
  <c r="H37" i="52" s="1"/>
  <c r="H38" i="52" s="1"/>
  <c r="F118" i="52"/>
  <c r="F120" i="52" s="1"/>
  <c r="F121" i="52" s="1"/>
  <c r="F35" i="52"/>
  <c r="F37" i="52" s="1"/>
  <c r="F38" i="52" s="1"/>
  <c r="F35" i="53"/>
  <c r="F37" i="53" s="1"/>
  <c r="F38" i="53" s="1"/>
  <c r="H40" i="53"/>
  <c r="H35" i="53"/>
  <c r="H36" i="53" s="1"/>
  <c r="D73" i="53"/>
  <c r="D69" i="52"/>
  <c r="F124" i="53"/>
  <c r="F126" i="53" s="1"/>
  <c r="F127" i="53" s="1"/>
  <c r="H124" i="53"/>
  <c r="H129" i="53"/>
  <c r="H78" i="53"/>
  <c r="H77" i="53" s="1"/>
  <c r="D74" i="53"/>
  <c r="D70" i="52"/>
  <c r="H74" i="52"/>
  <c r="H73" i="52" s="1"/>
  <c r="F76" i="32"/>
  <c r="F78" i="32" s="1"/>
  <c r="F79" i="32" s="1"/>
  <c r="F118" i="32"/>
  <c r="F120" i="32" s="1"/>
  <c r="F121" i="32" s="1"/>
  <c r="H118" i="32"/>
  <c r="H76" i="32"/>
  <c r="H32" i="32"/>
  <c r="G34" i="32"/>
  <c r="H34" i="32" s="1"/>
  <c r="D120" i="32"/>
  <c r="D121" i="32" s="1"/>
  <c r="C12" i="49"/>
  <c r="C13" i="49" s="1"/>
  <c r="C14" i="49" s="1"/>
  <c r="D27" i="32"/>
  <c r="E10" i="49"/>
  <c r="E11" i="49"/>
  <c r="D28" i="32"/>
  <c r="D29" i="32" s="1"/>
  <c r="H37" i="53" l="1"/>
  <c r="H38" i="53" s="1"/>
  <c r="H120" i="52"/>
  <c r="F69" i="52"/>
  <c r="H69" i="52"/>
  <c r="H70" i="52"/>
  <c r="F70" i="52"/>
  <c r="D68" i="52"/>
  <c r="D71" i="52"/>
  <c r="H125" i="53"/>
  <c r="H73" i="53"/>
  <c r="F73" i="53"/>
  <c r="H72" i="52"/>
  <c r="F74" i="53"/>
  <c r="D72" i="53"/>
  <c r="D75" i="53"/>
  <c r="H74" i="53"/>
  <c r="H76" i="53"/>
  <c r="H119" i="32"/>
  <c r="H77" i="32"/>
  <c r="H78" i="32" s="1"/>
  <c r="H79" i="32" s="1"/>
  <c r="H31" i="32"/>
  <c r="H30" i="32" s="1"/>
  <c r="F28" i="32"/>
  <c r="H28" i="32"/>
  <c r="D26" i="32"/>
  <c r="E12" i="49"/>
  <c r="F27" i="32"/>
  <c r="H27" i="32"/>
  <c r="F72" i="53" l="1"/>
  <c r="H68" i="52"/>
  <c r="H174" i="52" s="1"/>
  <c r="H175" i="52" s="1"/>
  <c r="H75" i="53"/>
  <c r="F75" i="53"/>
  <c r="D81" i="53"/>
  <c r="H126" i="53"/>
  <c r="H127" i="53" s="1"/>
  <c r="F71" i="52"/>
  <c r="H71" i="52"/>
  <c r="D77" i="52"/>
  <c r="H72" i="53"/>
  <c r="F68" i="52"/>
  <c r="H121" i="52"/>
  <c r="H120" i="32"/>
  <c r="H121" i="32" s="1"/>
  <c r="D35" i="32"/>
  <c r="D37" i="32" s="1"/>
  <c r="D152" i="32" s="1"/>
  <c r="F12" i="49"/>
  <c r="G12" i="49" s="1"/>
  <c r="H12" i="49" s="1"/>
  <c r="E13" i="49"/>
  <c r="E14" i="49" s="1"/>
  <c r="F14" i="49" s="1"/>
  <c r="F15" i="49" s="1"/>
  <c r="F16" i="49" s="1"/>
  <c r="F29" i="32"/>
  <c r="H29" i="32"/>
  <c r="H26" i="32"/>
  <c r="F26" i="32"/>
  <c r="F81" i="53" l="1"/>
  <c r="F83" i="53" s="1"/>
  <c r="H77" i="52"/>
  <c r="H150" i="52" s="1"/>
  <c r="D150" i="52"/>
  <c r="D79" i="52"/>
  <c r="D152" i="52" s="1"/>
  <c r="H86" i="53"/>
  <c r="H163" i="53" s="1"/>
  <c r="H81" i="53"/>
  <c r="F77" i="52"/>
  <c r="H184" i="53"/>
  <c r="H185" i="53" s="1"/>
  <c r="H85" i="53"/>
  <c r="H162" i="53" s="1"/>
  <c r="D158" i="53"/>
  <c r="D83" i="53"/>
  <c r="D150" i="32"/>
  <c r="H174" i="32"/>
  <c r="H175" i="32" s="1"/>
  <c r="H35" i="32"/>
  <c r="F35" i="32"/>
  <c r="D38" i="32"/>
  <c r="D153" i="32" s="1"/>
  <c r="F158" i="53" l="1"/>
  <c r="F160" i="53"/>
  <c r="F84" i="53"/>
  <c r="F161" i="53" s="1"/>
  <c r="H78" i="52"/>
  <c r="H79" i="52" s="1"/>
  <c r="D84" i="53"/>
  <c r="D161" i="53" s="1"/>
  <c r="D160" i="53"/>
  <c r="F79" i="52"/>
  <c r="F152" i="52" s="1"/>
  <c r="F150" i="52"/>
  <c r="H82" i="53"/>
  <c r="H158" i="53"/>
  <c r="D80" i="52"/>
  <c r="D153" i="52" s="1"/>
  <c r="H36" i="32"/>
  <c r="H151" i="32" s="1"/>
  <c r="H150" i="32"/>
  <c r="F37" i="32"/>
  <c r="F152" i="32" s="1"/>
  <c r="F150" i="32"/>
  <c r="H151" i="52" l="1"/>
  <c r="F80" i="52"/>
  <c r="F153" i="52" s="1"/>
  <c r="H83" i="53"/>
  <c r="H160" i="53" s="1"/>
  <c r="H159" i="53"/>
  <c r="H80" i="52"/>
  <c r="H153" i="52" s="1"/>
  <c r="H152" i="52"/>
  <c r="H37" i="32"/>
  <c r="F38" i="32"/>
  <c r="F153" i="32" s="1"/>
  <c r="H84" i="53" l="1"/>
  <c r="H161" i="53" s="1"/>
  <c r="H152" i="32"/>
  <c r="H38" i="32"/>
  <c r="H153" i="32" s="1"/>
  <c r="M55" i="14" l="1"/>
  <c r="M57" i="14" s="1"/>
  <c r="I154" i="53" l="1"/>
  <c r="I64" i="52"/>
  <c r="I146" i="52"/>
  <c r="I105" i="32"/>
  <c r="I111" i="53"/>
  <c r="I146" i="32"/>
  <c r="I68" i="53"/>
  <c r="I63" i="32"/>
  <c r="I105" i="5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54" authorId="0" shapeId="0" xr:uid="{00000000-0006-0000-0E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снятие под лимит 6,7млрпд
</t>
        </r>
      </text>
    </comment>
  </commentList>
</comments>
</file>

<file path=xl/sharedStrings.xml><?xml version="1.0" encoding="utf-8"?>
<sst xmlns="http://schemas.openxmlformats.org/spreadsheetml/2006/main" count="2691" uniqueCount="850">
  <si>
    <t>км</t>
  </si>
  <si>
    <t>СВСиУ</t>
  </si>
  <si>
    <t>шт</t>
  </si>
  <si>
    <t>БРП</t>
  </si>
  <si>
    <t>Тепловые сети</t>
  </si>
  <si>
    <t>нет данных</t>
  </si>
  <si>
    <t>комплекс</t>
  </si>
  <si>
    <t>АИИСКУЭ "Моссвет"</t>
  </si>
  <si>
    <t>Автоматическая противогололедная система</t>
  </si>
  <si>
    <t>Снос зданий и сооружений</t>
  </si>
  <si>
    <t>Благоустройство и озеленение</t>
  </si>
  <si>
    <t>смр</t>
  </si>
  <si>
    <t>оборудование</t>
  </si>
  <si>
    <t>прочие</t>
  </si>
  <si>
    <t>Наименование объекта строительства</t>
  </si>
  <si>
    <t>Обоснование</t>
  </si>
  <si>
    <t>Единиза измерения</t>
  </si>
  <si>
    <t xml:space="preserve">Количество </t>
  </si>
  <si>
    <t>1 этап</t>
  </si>
  <si>
    <t>п/п</t>
  </si>
  <si>
    <t>1.</t>
  </si>
  <si>
    <t>2.</t>
  </si>
  <si>
    <t>м2</t>
  </si>
  <si>
    <t>ЛС 1-11/8580-14-1</t>
  </si>
  <si>
    <t>ЛС 1-9/8580-14-1</t>
  </si>
  <si>
    <t>Ж/д эстакада по Павелецкому направлению МЖД</t>
  </si>
  <si>
    <t>Работа кранов</t>
  </si>
  <si>
    <t>ЛС 1-52/8580-14-1</t>
  </si>
  <si>
    <t>Испытание эстакады (обкатка)</t>
  </si>
  <si>
    <t>СМР</t>
  </si>
  <si>
    <t>ЛС 1-1/8580-14-1</t>
  </si>
  <si>
    <t>Итого:</t>
  </si>
  <si>
    <t>Виды работ</t>
  </si>
  <si>
    <t>п. ССР</t>
  </si>
  <si>
    <t>п.13</t>
  </si>
  <si>
    <t>п.27</t>
  </si>
  <si>
    <t>ЛС 1-2/8580-14-1</t>
  </si>
  <si>
    <t>Технологические площадки эстакады</t>
  </si>
  <si>
    <t>Взис 4,8%</t>
  </si>
  <si>
    <t>Вахтовый метод 2,9%</t>
  </si>
  <si>
    <t>Премия 2%</t>
  </si>
  <si>
    <t>(по мост полотну)</t>
  </si>
  <si>
    <t>общая площадь эстакады, м2</t>
  </si>
  <si>
    <t>ВСЕГО на эстакаду в ценах окт 2016:</t>
  </si>
  <si>
    <t>всего, тыс.руб.</t>
  </si>
  <si>
    <t>Итого за 1 м2 эстакады в ценах на 01.01.2020</t>
  </si>
  <si>
    <t>НДС 20%</t>
  </si>
  <si>
    <t>Очистное сооружение</t>
  </si>
  <si>
    <t>расчет по стоимостным показателям конструктивных решений-аналогов*</t>
  </si>
  <si>
    <t>* Расчет произведен согласно п.13 приказа Минстроя от 30.03.2020 № 175/пр (в случае отсутствия соответствующих показателей НЦС и стоимостных показателей объектов-аналогов определение затрат на выполнение подрядных работ осуществляется на основании стоимостных показателей отдельных видов затрат и (или) конструктивных решений объектов капитального строительства, аналогичных по своим техническим, технологическим, конструктивным характеристикам, специфическим особенностям и условиям строительства соответствующим видам затрат и (или) конструктивным решениям планируемого к строительству объекта капитального строительства, (далее - стоимостные показатели конструктивных решений-аналогов)</t>
  </si>
  <si>
    <t>Исходные данные (конструктивные решения):</t>
  </si>
  <si>
    <t>Строительство очистного сооружения</t>
  </si>
  <si>
    <t>Выбор сметы - аналога для расчета стоимостных показателей, наиболее полно отражающих конструктивные решения</t>
  </si>
  <si>
    <t>Объект:</t>
  </si>
  <si>
    <t>МГЭ:</t>
  </si>
  <si>
    <t>Уровень цен утвержедния</t>
  </si>
  <si>
    <t>март 2017</t>
  </si>
  <si>
    <t>"Очистное сооружение. Корректировка"</t>
  </si>
  <si>
    <t>Начисления к стоимостным показателям конструктивных решений-аналогов</t>
  </si>
  <si>
    <t xml:space="preserve">временные здания и сооружения </t>
  </si>
  <si>
    <t>согласно ТСН-2001.10, табл.1, п3,5</t>
  </si>
  <si>
    <t>затраты на вахтовый метод (от СМР до ВЗИС)</t>
  </si>
  <si>
    <t>распоряжение от 02.07.2019 №310-РП</t>
  </si>
  <si>
    <t>3.</t>
  </si>
  <si>
    <t>затраты на премию (от СМР до ВЗИС, до непредвиденныхх)</t>
  </si>
  <si>
    <t>распоряжение от 02.07.2019 №309-РП</t>
  </si>
  <si>
    <t>4.</t>
  </si>
  <si>
    <t>непредвиденные работы и затраты</t>
  </si>
  <si>
    <t>согласно ТСН-2001.12, п.2.4.17</t>
  </si>
  <si>
    <t>5.</t>
  </si>
  <si>
    <t xml:space="preserve">К перевода из уровня цен утверждения марта 2017 на 01.01.2020 </t>
  </si>
  <si>
    <t>по обобщенным коэффициентам</t>
  </si>
  <si>
    <t>По смете-аналогу в уровне цен утверждения:</t>
  </si>
  <si>
    <t>вид работ</t>
  </si>
  <si>
    <t>смета</t>
  </si>
  <si>
    <t>итого</t>
  </si>
  <si>
    <t>Подготовка территории</t>
  </si>
  <si>
    <t>ЛОС -100л/с и аккумулирующий резервуар</t>
  </si>
  <si>
    <t>Монтаж оборудования</t>
  </si>
  <si>
    <t>Стоимостные показатели конструктивных решений-аналогов, руб., без НДС</t>
  </si>
  <si>
    <t>Строительство ЛОС</t>
  </si>
  <si>
    <t>1 комплекс</t>
  </si>
  <si>
    <t>цена в уровне цен утверждения:</t>
  </si>
  <si>
    <t>вахта 2,9%</t>
  </si>
  <si>
    <t>премия 2%</t>
  </si>
  <si>
    <t>ВЗИС 1,5%</t>
  </si>
  <si>
    <t>непредвиденные 2%</t>
  </si>
  <si>
    <t>Непредвиденные 2%</t>
  </si>
  <si>
    <t>общая площадь путепровода, м2</t>
  </si>
  <si>
    <t>длина путепровода, м</t>
  </si>
  <si>
    <t>ширина, м</t>
  </si>
  <si>
    <t>п.4</t>
  </si>
  <si>
    <t>том 9.3.16, ЛС 01-01</t>
  </si>
  <si>
    <t>Разборка существующего путепровода</t>
  </si>
  <si>
    <t>К=0,9994</t>
  </si>
  <si>
    <t>Демонтаж существующего путепровода</t>
  </si>
  <si>
    <t>Дождевая канализация</t>
  </si>
  <si>
    <t>№</t>
  </si>
  <si>
    <t>ПОКАЗАТЕЛИ</t>
  </si>
  <si>
    <t>ОБЪЕКТ-АНАЛОГ</t>
  </si>
  <si>
    <t>ОБЪЕКТ-ПРОЕКТИРУЕМЫЙ</t>
  </si>
  <si>
    <t>Конструктивные решения:</t>
  </si>
  <si>
    <t>1.1</t>
  </si>
  <si>
    <t>м</t>
  </si>
  <si>
    <t>1.2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</si>
  <si>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июль 2013)</t>
    </r>
  </si>
  <si>
    <t>В том числе:</t>
  </si>
  <si>
    <t>Строительных работ</t>
  </si>
  <si>
    <t>Монтажных работ</t>
  </si>
  <si>
    <t>Оборудование</t>
  </si>
  <si>
    <t>Прочих затрат</t>
  </si>
  <si>
    <t>Составлена в ценах июля 2013 г. тыс. руб.</t>
  </si>
  <si>
    <t>№ п/п</t>
  </si>
  <si>
    <t>Показатели</t>
  </si>
  <si>
    <t>строит.</t>
  </si>
  <si>
    <t>монт.</t>
  </si>
  <si>
    <t>обор.</t>
  </si>
  <si>
    <t>Всего</t>
  </si>
  <si>
    <t>1</t>
  </si>
  <si>
    <t>Прокладка трубопроводов диам. 400-800 мм</t>
  </si>
  <si>
    <t>3</t>
  </si>
  <si>
    <t>4</t>
  </si>
  <si>
    <t>ИТОГО:</t>
  </si>
  <si>
    <t>раздел 1</t>
  </si>
  <si>
    <t>зем работы</t>
  </si>
  <si>
    <t>раздел 2</t>
  </si>
  <si>
    <t>крепл</t>
  </si>
  <si>
    <t>раздел 3</t>
  </si>
  <si>
    <t>рамы</t>
  </si>
  <si>
    <t>раздел 4</t>
  </si>
  <si>
    <t>основания</t>
  </si>
  <si>
    <t>раздел 5</t>
  </si>
  <si>
    <t>полиэт</t>
  </si>
  <si>
    <t>раздел 6</t>
  </si>
  <si>
    <t>раздел 7</t>
  </si>
  <si>
    <t>футряр</t>
  </si>
  <si>
    <t>раздел 8</t>
  </si>
  <si>
    <t>раздел 9</t>
  </si>
  <si>
    <t>раздел 10</t>
  </si>
  <si>
    <t>байпас</t>
  </si>
  <si>
    <t>раздел 11</t>
  </si>
  <si>
    <t>колодцы</t>
  </si>
  <si>
    <t>раздел 12</t>
  </si>
  <si>
    <t>демонтаж</t>
  </si>
  <si>
    <t>раздел 13</t>
  </si>
  <si>
    <t>раздел 14</t>
  </si>
  <si>
    <t>раздел 15</t>
  </si>
  <si>
    <t>раздел 16</t>
  </si>
  <si>
    <t>раздел 17</t>
  </si>
  <si>
    <t>раздел 18</t>
  </si>
  <si>
    <t>демонтаж колодцев</t>
  </si>
  <si>
    <t>раздел 19</t>
  </si>
  <si>
    <t>реконстр</t>
  </si>
  <si>
    <t>раздел 20</t>
  </si>
  <si>
    <t>перепуск</t>
  </si>
  <si>
    <t>раздел 21</t>
  </si>
  <si>
    <t>колодец</t>
  </si>
  <si>
    <t>раздел 22</t>
  </si>
  <si>
    <t>раздел 23</t>
  </si>
  <si>
    <t>раздел 24</t>
  </si>
  <si>
    <t>раздел 25</t>
  </si>
  <si>
    <t>раздел 26</t>
  </si>
  <si>
    <t>раздел 27</t>
  </si>
  <si>
    <t>Непредвиденные затраты 2%</t>
  </si>
  <si>
    <t>АПС</t>
  </si>
  <si>
    <t>Длина путепровода</t>
  </si>
  <si>
    <t>312,12 м</t>
  </si>
  <si>
    <t>125 м</t>
  </si>
  <si>
    <t>Насосная станция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</si>
  <si>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сентябрь 2019)</t>
    </r>
  </si>
  <si>
    <t>Составлена в ценах сентября 2019 г. тыс. руб.</t>
  </si>
  <si>
    <t>Устройство насосной станции (в т.ч. забор, тротуары)</t>
  </si>
  <si>
    <t>2</t>
  </si>
  <si>
    <t>Устройство метеостанции и дорожных датчиков</t>
  </si>
  <si>
    <t>Оборудование управления работой АПС</t>
  </si>
  <si>
    <t>Монтаж АПС, СКУД, видеонаблюдения</t>
  </si>
  <si>
    <t>Итого на 1 комплекс</t>
  </si>
  <si>
    <t>5</t>
  </si>
  <si>
    <t>Трубопроводы АПС</t>
  </si>
  <si>
    <t>6</t>
  </si>
  <si>
    <t>Прокладка кабелей управления и питания</t>
  </si>
  <si>
    <t>7</t>
  </si>
  <si>
    <t>Установка клапанных панелей и разбрызгивающих головок</t>
  </si>
  <si>
    <t>8</t>
  </si>
  <si>
    <t>Электроснабжение</t>
  </si>
  <si>
    <t>Итого на путепровод</t>
  </si>
  <si>
    <t xml:space="preserve">Прокладка теплосети 2Д=159-600 мм </t>
  </si>
  <si>
    <t>Открытая прокладка:</t>
  </si>
  <si>
    <t>Прокладка теплосети 2Д=1220 мм</t>
  </si>
  <si>
    <t>2Д=159-600 мм L=200 м.</t>
  </si>
  <si>
    <t>260 м</t>
  </si>
  <si>
    <t>2Д=1220 мм L=160 м.</t>
  </si>
  <si>
    <t>1.4</t>
  </si>
  <si>
    <t>Камеры теплосети</t>
  </si>
  <si>
    <t>12 шт</t>
  </si>
  <si>
    <t>2 шт</t>
  </si>
  <si>
    <t>Закрытая прокладка в щите:</t>
  </si>
  <si>
    <t>1.5</t>
  </si>
  <si>
    <t>Камеры водовыпуска</t>
  </si>
  <si>
    <t>63 шт</t>
  </si>
  <si>
    <t>10 шт</t>
  </si>
  <si>
    <t>Д=1220 мм L=260 м</t>
  </si>
  <si>
    <t>1.6</t>
  </si>
  <si>
    <t>Щитовые камеры</t>
  </si>
  <si>
    <t>(камера теплосети)</t>
  </si>
  <si>
    <t>4 шт</t>
  </si>
  <si>
    <t>Камеры теплосети – 2 шт.</t>
  </si>
  <si>
    <t>1.7</t>
  </si>
  <si>
    <t>Переустройство сущ. камер теплосети</t>
  </si>
  <si>
    <t>(демонтаж-монтаж камеры)</t>
  </si>
  <si>
    <t>1 шт</t>
  </si>
  <si>
    <t>Камеры водовыпуска – 10 шт.</t>
  </si>
  <si>
    <t>1.8</t>
  </si>
  <si>
    <t>Дренажные насосные станции</t>
  </si>
  <si>
    <t>Щитовые камеры – 4 шт.</t>
  </si>
  <si>
    <t>1.9</t>
  </si>
  <si>
    <t>Электрощитовая</t>
  </si>
  <si>
    <t>Переустройство сущ. камер теплосети – 1 шт.</t>
  </si>
  <si>
    <t>1.10</t>
  </si>
  <si>
    <t>Байпас теплосети 2Д=159-600 мм</t>
  </si>
  <si>
    <t>155 м</t>
  </si>
  <si>
    <t>50 м</t>
  </si>
  <si>
    <t>Дренажные насосные станции – 1шт.</t>
  </si>
  <si>
    <t>1.11</t>
  </si>
  <si>
    <t>Байпас теплосети 2Д=1220 мм</t>
  </si>
  <si>
    <t>1188 м</t>
  </si>
  <si>
    <t>360 м</t>
  </si>
  <si>
    <t>Электрощитовая -1 шт.</t>
  </si>
  <si>
    <t>1.12</t>
  </si>
  <si>
    <t>Байпасные камеры</t>
  </si>
  <si>
    <t>13 шт</t>
  </si>
  <si>
    <t>Байпасы теплосети:</t>
  </si>
  <si>
    <t>1.13</t>
  </si>
  <si>
    <t xml:space="preserve">Водовыпуск Д400 </t>
  </si>
  <si>
    <t xml:space="preserve">465,2 м </t>
  </si>
  <si>
    <t>100 м</t>
  </si>
  <si>
    <t>2Д=159-600 мм L=50 м.</t>
  </si>
  <si>
    <t>1.14</t>
  </si>
  <si>
    <t>Демонтаж существующих сетей</t>
  </si>
  <si>
    <t>2Д=1220 мм L=360 м.</t>
  </si>
  <si>
    <t>Байпасные камеры – 2 шт.</t>
  </si>
  <si>
    <t>Водовыпуск Д400 – 100мПредусмотреть демонтаж существующих сетей.</t>
  </si>
  <si>
    <t>Наружные тепловые сети</t>
  </si>
  <si>
    <t>в т.ч.</t>
  </si>
  <si>
    <r>
      <t xml:space="preserve">Прокладка труб в ППУ-ПЭ </t>
    </r>
    <r>
      <rPr>
        <i/>
        <sz val="11"/>
        <rFont val="Calibri"/>
        <family val="2"/>
        <charset val="204"/>
      </rPr>
      <t>Ø</t>
    </r>
    <r>
      <rPr>
        <i/>
        <sz val="11"/>
        <rFont val="Times New Roman"/>
        <family val="1"/>
        <charset val="204"/>
      </rPr>
      <t>1420 мм,Д70мм</t>
    </r>
  </si>
  <si>
    <r>
      <t xml:space="preserve">Прокладка труб в ППУ-ПЭ </t>
    </r>
    <r>
      <rPr>
        <i/>
        <sz val="11"/>
        <rFont val="Calibri"/>
        <family val="2"/>
        <charset val="204"/>
      </rPr>
      <t>Ø</t>
    </r>
    <r>
      <rPr>
        <i/>
        <sz val="11"/>
        <rFont val="Times New Roman"/>
        <family val="1"/>
        <charset val="204"/>
      </rPr>
      <t>1220 мм с установкой отводов, изоляция трубопровода и стыков</t>
    </r>
  </si>
  <si>
    <t>исключена ошибка по смете в отношении трубы Д1200 338,685-72,325=266,36м</t>
  </si>
  <si>
    <r>
      <t xml:space="preserve">Прокладка труб в ППУ-ПЭ </t>
    </r>
    <r>
      <rPr>
        <i/>
        <sz val="11"/>
        <rFont val="Calibri"/>
        <family val="2"/>
        <charset val="204"/>
      </rPr>
      <t>Ø</t>
    </r>
    <r>
      <rPr>
        <i/>
        <sz val="11"/>
        <rFont val="Times New Roman"/>
        <family val="1"/>
        <charset val="204"/>
      </rPr>
      <t>400 мм</t>
    </r>
  </si>
  <si>
    <t>Сварка труб и фасонных частей</t>
  </si>
  <si>
    <t xml:space="preserve">Монтаж скользящих опор в ППУ изоляции Д1200 </t>
  </si>
  <si>
    <t>Монтаж скользящих опор в ППУ изоляции Д400</t>
  </si>
  <si>
    <t>Монтаж скользящих опор в ППУ изоляции Д1400 и Д70</t>
  </si>
  <si>
    <t>Монолитное ж/б основание для труб</t>
  </si>
  <si>
    <t>Камеры теплосети 12 шт строительная часть +технологическая часть, щитовые камеры</t>
  </si>
  <si>
    <t>Камеры водовыпуска 53+2+8=63шт</t>
  </si>
  <si>
    <t>СОДК</t>
  </si>
  <si>
    <t>Комплекс работ по монтажу жб каналов</t>
  </si>
  <si>
    <t>Байпас теплосети Д76мм, Д800мм</t>
  </si>
  <si>
    <t xml:space="preserve">Байпас теплосети Д400мм  </t>
  </si>
  <si>
    <t>Байпас теплосети 1220 мм</t>
  </si>
  <si>
    <t>Байпасные камеры 13 шт</t>
  </si>
  <si>
    <t>Комплекс работ по монтажу/демонтажу байпаса, кроме непосредственно прокладки труб и камер (в расчете на 1 м трубопровода)</t>
  </si>
  <si>
    <t>Переустройство теплосети абонента</t>
  </si>
  <si>
    <t>Переустройство сущ. камер теплосети (демонтаж камеры, монтаж камеры)??</t>
  </si>
  <si>
    <t>Демонтажные работы</t>
  </si>
  <si>
    <t>оборудование и монтаж канала передачи данных о состоянии сопротивления изоляции в т.17К/22К</t>
  </si>
  <si>
    <t>оборудование и монтаж канала передачи данных о состоянии сопротивления изоляции в кам/пав К1416 (т.8К/15К)</t>
  </si>
  <si>
    <t>Электрооборудование камеры в т.5</t>
  </si>
  <si>
    <t>Составлена в ценах августа 2019 г. тыс. руб.</t>
  </si>
  <si>
    <t>Дренажная насосная станция (ДНС)</t>
  </si>
  <si>
    <t>Электротехническое обеспечение ДНС</t>
  </si>
  <si>
    <t>Электроснабжение ДНС</t>
  </si>
  <si>
    <t>АСУ ТП. ДНС</t>
  </si>
  <si>
    <t>Телемеханизация тепловых сетей. ДНС</t>
  </si>
  <si>
    <t>Стоимость в уровне цен на 01.01.2020</t>
  </si>
  <si>
    <t>Стоимость на путепровод длиной 125 м в уровне цен на 01.01.2020</t>
  </si>
  <si>
    <t>Стоимость 1 м дождевой канализации в ценах на 01.01.2020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</si>
  <si>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август 2019)</t>
    </r>
  </si>
  <si>
    <t>ВСЕГО в уровне цен на 01.01.2020:</t>
  </si>
  <si>
    <t>430,27 м общая (2Д400мм - 215,14м )</t>
  </si>
  <si>
    <t>424,42 м общая (2Д1220 - 212,21 м)</t>
  </si>
  <si>
    <t>Комплекс земляных работ, кроме непосредственно прокладки труб (в расчете на 1 м трассы)</t>
  </si>
  <si>
    <t>Составлена в ценах ноября 2015 г. тыс. руб.</t>
  </si>
  <si>
    <t>Закрытая прокладка AVN-2000 (прим. AVN-3600) ., п.142 (на 63м)</t>
  </si>
  <si>
    <t>Перевозка и размещение грунта на 34 км (п.22,23) на 30м3</t>
  </si>
  <si>
    <t>420 м (160 м -открытая, 260 м - закрытая AVN 3600)</t>
  </si>
  <si>
    <t>Закрытая проходка  в щите Д=3600мм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</si>
  <si>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ноябрь 2015)</t>
    </r>
  </si>
  <si>
    <t>1.3.</t>
  </si>
  <si>
    <t>на метр трассы из двух труб:</t>
  </si>
  <si>
    <t>Расчет  № 3</t>
  </si>
  <si>
    <t>Расчет  № 5</t>
  </si>
  <si>
    <t>Аналог:  "Автомобильная дорога от Дмитровского шоссе до проектируемого проезда № 5557 вдоль Савеловского направления Московской железной дороги (1-й этап). Корректировка "</t>
  </si>
  <si>
    <t>Строительство БРП</t>
  </si>
  <si>
    <t>8 шт</t>
  </si>
  <si>
    <t>Составлена в ценах марта 2017 г. тыс. руб.</t>
  </si>
  <si>
    <t>Стоимость 1 шт БРП в ценах на 01.01.2020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</si>
  <si>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март 2017)</t>
    </r>
  </si>
  <si>
    <t>АСУ НО</t>
  </si>
  <si>
    <t>на 8 шт БРП</t>
  </si>
  <si>
    <t>на 4 шт БРП</t>
  </si>
  <si>
    <t>Стоимость 1комплекса АСУ НО в ценах на 01.01.2020</t>
  </si>
  <si>
    <t xml:space="preserve">АСУ НО </t>
  </si>
  <si>
    <t>Стоимость 1комплекса в ценах на 01.01.2020</t>
  </si>
  <si>
    <t xml:space="preserve"> АИИСКУЭ "Моссвет"</t>
  </si>
  <si>
    <t>Сбор и передача данных "Гормост"</t>
  </si>
  <si>
    <t>Протяженность путепровода, м</t>
  </si>
  <si>
    <t>225,85 м</t>
  </si>
  <si>
    <t>Составлена в ценах август 2019 г. тыс. руб.</t>
  </si>
  <si>
    <t>Протяженность ВОЛС, м</t>
  </si>
  <si>
    <t>3825 м</t>
  </si>
  <si>
    <t>3003 м</t>
  </si>
  <si>
    <t>АИИСКУЭ ГБУ Гормост</t>
  </si>
  <si>
    <t xml:space="preserve">Автоматизированная информационно-измерительная система коммерческого учета электроэнергии для целей 
ГБУ «Гормост»
</t>
  </si>
  <si>
    <t>Стоимость на 1м.п сооружения в ценах на 01.01.2020</t>
  </si>
  <si>
    <t>Стоимость на 125м.п сооружения в ценах на 01.01.2020</t>
  </si>
  <si>
    <t>Стоимость на 50м.п сооружения в ценах на 01.01.2020</t>
  </si>
  <si>
    <t>Снос зданий</t>
  </si>
  <si>
    <t>Снос здания объемом 63000м3</t>
  </si>
  <si>
    <t>Транспорт мусора с размещением</t>
  </si>
  <si>
    <t>по смете аналогу:</t>
  </si>
  <si>
    <t xml:space="preserve">площадь сносимого здания </t>
  </si>
  <si>
    <t>строительный объем</t>
  </si>
  <si>
    <t>м3</t>
  </si>
  <si>
    <t>высота</t>
  </si>
  <si>
    <t>одноэтажное</t>
  </si>
  <si>
    <t>по тех заданию</t>
  </si>
  <si>
    <t>площадь</t>
  </si>
  <si>
    <t>п.27-54</t>
  </si>
  <si>
    <t>145,6 м3  здания (стр объем)</t>
  </si>
  <si>
    <t>16793,6 м3 здания (стр объем)</t>
  </si>
  <si>
    <t>Стоимость комплекса работ в ценах на 01.01.2020</t>
  </si>
  <si>
    <t>Снос здания кирпичного 145,6м3 с фндаментом</t>
  </si>
  <si>
    <t>Кабельные линии для электроснабжения, электрические сети 0,4-10кВ</t>
  </si>
  <si>
    <t>0,4-10кВ</t>
  </si>
  <si>
    <t>м кабеля</t>
  </si>
  <si>
    <t>1 м кабеля</t>
  </si>
  <si>
    <t xml:space="preserve">0,4-10кВ </t>
  </si>
  <si>
    <t>электрические сети 0,4-10кВ (с учетом ГНБ 100м) - 1500 м</t>
  </si>
  <si>
    <t>Устройство перехода ГНБ</t>
  </si>
  <si>
    <t>ГНБ</t>
  </si>
  <si>
    <t>электроснабжение путепровода, пешеходного перехода, ЛОС, БРП -1600 м</t>
  </si>
  <si>
    <t>переустройство ж/д путей - 250 м</t>
  </si>
  <si>
    <t>демонтаж ж/путей - 750 м</t>
  </si>
  <si>
    <t>переустройство водоотвода - 200 м</t>
  </si>
  <si>
    <t>переустройство кабелей СЦБ - 2000м</t>
  </si>
  <si>
    <t>переустройство линий электроснабжения 250м</t>
  </si>
  <si>
    <t>9.8.4.</t>
  </si>
  <si>
    <t>9.8.5.</t>
  </si>
  <si>
    <t>сети РЖД</t>
  </si>
  <si>
    <t>переустройство линий электроснабжения РЖД (том 9.8.4., лс 38) общая длина -5206м</t>
  </si>
  <si>
    <t>переустройство ж/д путей (том 9.8.5, лс 39) общая длина 1220м</t>
  </si>
  <si>
    <t>демонтаж ж/д путей (том 9.8.5, лс 39) общая длина 961м</t>
  </si>
  <si>
    <t>переустройство водоотвода (том 9.8.5, лс 39) общая длина 147м</t>
  </si>
  <si>
    <t>1.2.</t>
  </si>
  <si>
    <t>1.4.</t>
  </si>
  <si>
    <t>1.5.</t>
  </si>
  <si>
    <t xml:space="preserve">переустройство ж/д путей </t>
  </si>
  <si>
    <t>250 м</t>
  </si>
  <si>
    <t>750 м</t>
  </si>
  <si>
    <t>200 м</t>
  </si>
  <si>
    <t>2000 м</t>
  </si>
  <si>
    <t>демонтаж ж/путей</t>
  </si>
  <si>
    <t>переустройство водоотвода</t>
  </si>
  <si>
    <t xml:space="preserve">переустройство кабелей СЦБ </t>
  </si>
  <si>
    <t xml:space="preserve">переустройство линий электроснабжения </t>
  </si>
  <si>
    <t>1220 м</t>
  </si>
  <si>
    <t>961 м</t>
  </si>
  <si>
    <t>147 м</t>
  </si>
  <si>
    <t>перустройство кабелей СЦБ (том 9.8.2, лс 36-1) длина 1740м</t>
  </si>
  <si>
    <t>1740 м</t>
  </si>
  <si>
    <t>5206 м</t>
  </si>
  <si>
    <t>Непредвиденные 2 %</t>
  </si>
  <si>
    <t xml:space="preserve">5 кабельная </t>
  </si>
  <si>
    <t>Переустройство сетей РЖД</t>
  </si>
  <si>
    <t>Автоматизированная система управления дорожным движением (АСУДД)</t>
  </si>
  <si>
    <t>прокладка оптического кабеля в кабельной канализации с устройством смотровых колодцев, м</t>
  </si>
  <si>
    <t>установка детектора, шт</t>
  </si>
  <si>
    <t>установка камер поворотных, шт</t>
  </si>
  <si>
    <t>1 смета:</t>
  </si>
  <si>
    <t>Том 9.2.4.</t>
  </si>
  <si>
    <t>ЛС-02-3-24К</t>
  </si>
  <si>
    <t>"АСУДД. Инфраструктура".</t>
  </si>
  <si>
    <t>2 смета:</t>
  </si>
  <si>
    <t>Положительное заключение Мосгоэкспертизы  № 2193-19/МГЭ/22009-2/9 от 10.04.2019</t>
  </si>
  <si>
    <t>Уровень цен утверждения</t>
  </si>
  <si>
    <t>июнь 2013</t>
  </si>
  <si>
    <t>Том 9.2.23.</t>
  </si>
  <si>
    <t>ЛС №1,2,3</t>
  </si>
  <si>
    <t>"АСУДД. Техническое обеспечение".</t>
  </si>
  <si>
    <t xml:space="preserve">К перевода из уровня цен утверждения июня 2013 на 01.01.2020 </t>
  </si>
  <si>
    <t>Для прокладки кабеля:</t>
  </si>
  <si>
    <t>пункт сметы</t>
  </si>
  <si>
    <t>ед изм</t>
  </si>
  <si>
    <t>объем</t>
  </si>
  <si>
    <t>стоимость</t>
  </si>
  <si>
    <t xml:space="preserve">разработка грунта </t>
  </si>
  <si>
    <t>смета 1</t>
  </si>
  <si>
    <t>1-3</t>
  </si>
  <si>
    <t>обратная засыпка</t>
  </si>
  <si>
    <t>6-9</t>
  </si>
  <si>
    <t>вывоз грунта на 34 км</t>
  </si>
  <si>
    <t>размещение грунта</t>
  </si>
  <si>
    <t xml:space="preserve">устройство кабельной канализации </t>
  </si>
  <si>
    <t>10-16</t>
  </si>
  <si>
    <t xml:space="preserve">колодцы </t>
  </si>
  <si>
    <t>17-28</t>
  </si>
  <si>
    <t>установка опор</t>
  </si>
  <si>
    <t>29-31,43-45</t>
  </si>
  <si>
    <t>прокладка кабеля силового</t>
  </si>
  <si>
    <t>48-51</t>
  </si>
  <si>
    <t>прокладка оптического кабеля с муфтами</t>
  </si>
  <si>
    <t>52-85</t>
  </si>
  <si>
    <t>измерение кабеля оптического</t>
  </si>
  <si>
    <t>86-111</t>
  </si>
  <si>
    <t xml:space="preserve">пнр </t>
  </si>
  <si>
    <t>121-123</t>
  </si>
  <si>
    <t>Техническое обеспечение:</t>
  </si>
  <si>
    <t>смета 2</t>
  </si>
  <si>
    <t>ПНР</t>
  </si>
  <si>
    <t>установка камер поворотных</t>
  </si>
  <si>
    <t>5-8,16,17</t>
  </si>
  <si>
    <t>оборудование камер поворотных</t>
  </si>
  <si>
    <t>21,22,28</t>
  </si>
  <si>
    <t>№2, 7-11,19</t>
  </si>
  <si>
    <t>установка детектора</t>
  </si>
  <si>
    <t>11,12</t>
  </si>
  <si>
    <t>оборудование детектор</t>
  </si>
  <si>
    <t>25</t>
  </si>
  <si>
    <t>№2, 17,18</t>
  </si>
  <si>
    <t>ИТОГО в уровне цен утверждения, в том числе</t>
  </si>
  <si>
    <t>прокладка оптического кабеля (разработка грунта, засыпка, устройство кабельной канализации, монтаж колодцев связи, опор)</t>
  </si>
  <si>
    <t>на 10 073 м</t>
  </si>
  <si>
    <t>на 1 м</t>
  </si>
  <si>
    <t>на 13 шт</t>
  </si>
  <si>
    <t>на 1 шт</t>
  </si>
  <si>
    <t>на 9 шт</t>
  </si>
  <si>
    <t>Прокладка оптического кабеля, м</t>
  </si>
  <si>
    <t>Установка детектора, шт</t>
  </si>
  <si>
    <t>Установка камер поворотных, шт</t>
  </si>
  <si>
    <t>цена</t>
  </si>
  <si>
    <t>сумма</t>
  </si>
  <si>
    <t>1 этап:</t>
  </si>
  <si>
    <t>Кабельная линия электроснабжения (расчет №14)</t>
  </si>
  <si>
    <t>ИТОГО на АСУДД:</t>
  </si>
  <si>
    <t>Стоимость работ для учета в расчете НМЦК, тыс.руб., без НДС:</t>
  </si>
  <si>
    <t xml:space="preserve"> "Реконструкция Варшавского шоссе на участке от пр.пр 728 до обводной дороги на город Подольск, включая транспортную развязку с обводной дорогой. Корректировка"</t>
  </si>
  <si>
    <t>Информационные знаки и опоры под них</t>
  </si>
  <si>
    <t>установка Г-образной опоры с фундаментом</t>
  </si>
  <si>
    <t>установка П-образной опоры с фундаментом</t>
  </si>
  <si>
    <t>установка информационных знаков</t>
  </si>
  <si>
    <t>кабельная линия электроснабжения, м</t>
  </si>
  <si>
    <t>Итого</t>
  </si>
  <si>
    <t>Площадь</t>
  </si>
  <si>
    <t>Стоимость 1га</t>
  </si>
  <si>
    <t>1 га</t>
  </si>
  <si>
    <t>Расчет  № 19</t>
  </si>
  <si>
    <t>ОДД на период строительства</t>
  </si>
  <si>
    <t>ОДД на период стоительства (временные ТСОДД, временнная разметка)</t>
  </si>
  <si>
    <t>Длина трассы,м</t>
  </si>
  <si>
    <t>ТСОДД на период строительства</t>
  </si>
  <si>
    <t>Вынос трассы дорог и коммуникаций</t>
  </si>
  <si>
    <t>Вынос трассы дороги</t>
  </si>
  <si>
    <t>1 м трассы</t>
  </si>
  <si>
    <t>Вынос трассы дорог (см.12)</t>
  </si>
  <si>
    <t>Итого этап 1</t>
  </si>
  <si>
    <t>Вынос трассы дождевой канализации (9606м) (см.1-11)</t>
  </si>
  <si>
    <t>Вынос трассы сети электроснабжения (500м) (см.1-11)</t>
  </si>
  <si>
    <t>Вынос трассы сети связи (3668м) (см.1-11)</t>
  </si>
  <si>
    <t>Среднедневная единичная выработка, руб. Вср(2000) (гр.4*(1+гр.6)/гр.5</t>
  </si>
  <si>
    <t>ОЭК, МОЭСК</t>
  </si>
  <si>
    <t>Мосводоканал</t>
  </si>
  <si>
    <t>МОЭК</t>
  </si>
  <si>
    <t>Расчет
начальной (максимальной) цены контракта, цены контракта,
заключаемого с единственным поставщиком (подрядчиком, исполнителем), предметом которого одновременно является подготовка проектной документации и (или) выполнение инженерных изысканий, выполнение работ по строительству, реконструкции и (или) капитальному ремонту объектов капитального строительства</t>
  </si>
  <si>
    <t xml:space="preserve">начальной (максимальной) цены контракта </t>
  </si>
  <si>
    <t>Наименование работ 
и затрат</t>
  </si>
  <si>
    <t xml:space="preserve">Индекс
фактической
инфляции 
</t>
  </si>
  <si>
    <t xml:space="preserve">Индекс прогнозной инфляции на период выполнения работ </t>
  </si>
  <si>
    <t>Начальная (максимальная) цена контракта с учетом прогнозного индекса инфляции на период выполнения работ</t>
  </si>
  <si>
    <t>Итого с  НДС 20%</t>
  </si>
  <si>
    <t>- Затраты на выполнение инженерных изысканий</t>
  </si>
  <si>
    <t xml:space="preserve">- Охрана </t>
  </si>
  <si>
    <t>- Предоставление документации на построенный объект</t>
  </si>
  <si>
    <t>Итого по этапам 1,2,3</t>
  </si>
  <si>
    <t>Итого по этапам 1,2,3 с  НДС 20%</t>
  </si>
  <si>
    <t>- затраты на выполнение работ вахтовым методом</t>
  </si>
  <si>
    <t>- премирование подрядных организаций за своевременное завершение строительных работ</t>
  </si>
  <si>
    <t>- резерв средств на непредвиденные работы и затраты</t>
  </si>
  <si>
    <t>Расчет  № 1.</t>
  </si>
  <si>
    <t>Переустройство сетей связи</t>
  </si>
  <si>
    <r>
      <rPr>
        <b/>
        <sz val="10"/>
        <color theme="1"/>
        <rFont val="Times New Roman"/>
        <family val="1"/>
        <charset val="204"/>
      </rPr>
      <t xml:space="preserve">демонтаж </t>
    </r>
    <r>
      <rPr>
        <sz val="10"/>
        <color theme="1"/>
        <rFont val="Times New Roman"/>
        <family val="1"/>
        <charset val="204"/>
      </rPr>
      <t>существующих сетей связи из кабельной канализации</t>
    </r>
  </si>
  <si>
    <r>
      <rPr>
        <b/>
        <sz val="10"/>
        <color theme="1"/>
        <rFont val="Times New Roman"/>
        <family val="1"/>
        <charset val="204"/>
      </rPr>
      <t>прокладка медных кабелей</t>
    </r>
    <r>
      <rPr>
        <sz val="10"/>
        <color theme="1"/>
        <rFont val="Times New Roman"/>
        <family val="1"/>
        <charset val="204"/>
      </rPr>
      <t xml:space="preserve"> связи в кабельной канализации (включая разработку грунта, засыпку, устройство кабельной канализации (частично бурошнеком), монтаж колодцев связи, прокладку кабелей, монтаж муфт, комплекс измерений</t>
    </r>
  </si>
  <si>
    <r>
      <rPr>
        <b/>
        <sz val="10"/>
        <color theme="1"/>
        <rFont val="Times New Roman"/>
        <family val="1"/>
        <charset val="204"/>
      </rPr>
      <t xml:space="preserve">прокладка опических кабелей </t>
    </r>
    <r>
      <rPr>
        <sz val="10"/>
        <color theme="1"/>
        <rFont val="Times New Roman"/>
        <family val="1"/>
        <charset val="204"/>
      </rPr>
      <t>связи в кабельной канализации (включая разработку грунта, засыпку, устройство кабельной канализации (частично бурошнеком), монтаж колодцев связи, прокладку кабелей, монтаж муфт, комплекс измерений</t>
    </r>
  </si>
  <si>
    <t>Том 9.2.5.2</t>
  </si>
  <si>
    <t>"Переустройство общегородских инженерных сетей. Корректировка"</t>
  </si>
  <si>
    <t>"Переустройство сетей связи" (смета 1)</t>
  </si>
  <si>
    <t xml:space="preserve">К перевода из уровня цен утверждения на 01.01.2020 </t>
  </si>
  <si>
    <t>см.1</t>
  </si>
  <si>
    <t>общие затраты на прокладку кабеля (разработка грунта, засыпка, устройство кабельной канализации, монтаж колодцев связи)</t>
  </si>
  <si>
    <t>Демонтаж кабеля, м:</t>
  </si>
  <si>
    <t>Стоимость работ для учета в расчете НМЦК, руб., без НДС:</t>
  </si>
  <si>
    <t>Итого за демонтаж  1 м2 путепровода в ценах на 01.01.2020</t>
  </si>
  <si>
    <t>ВСЕГОв ценах сентябрь 2019:</t>
  </si>
  <si>
    <t>Итого  в ценах на 01.01.2020</t>
  </si>
  <si>
    <t>Расчет  № 4.</t>
  </si>
  <si>
    <t>Расчет  № 6.</t>
  </si>
  <si>
    <t>Расчет  № 7.</t>
  </si>
  <si>
    <t>Расчет  № 8.</t>
  </si>
  <si>
    <t>Расчет  № 9.</t>
  </si>
  <si>
    <t>Расчет  № 10.</t>
  </si>
  <si>
    <t>Прокладка  кабеля связи, м</t>
  </si>
  <si>
    <t>Прокладка кабеля связи, м</t>
  </si>
  <si>
    <t>Водопровод</t>
  </si>
  <si>
    <t>Расчет  № 11.</t>
  </si>
  <si>
    <t>открытая 150-250</t>
  </si>
  <si>
    <t>600м</t>
  </si>
  <si>
    <t>открытая 300-600</t>
  </si>
  <si>
    <t>220м</t>
  </si>
  <si>
    <t>150м</t>
  </si>
  <si>
    <t>200м</t>
  </si>
  <si>
    <t>демонтаж 160-600</t>
  </si>
  <si>
    <t>30м</t>
  </si>
  <si>
    <t>1шт</t>
  </si>
  <si>
    <t>труба 1200</t>
  </si>
  <si>
    <t>труба 500</t>
  </si>
  <si>
    <t>100,101</t>
  </si>
  <si>
    <t>труба 250</t>
  </si>
  <si>
    <t>труба 150</t>
  </si>
  <si>
    <t>108,109</t>
  </si>
  <si>
    <t>ЧУГУН</t>
  </si>
  <si>
    <t>СТАЛЬ</t>
  </si>
  <si>
    <t>110,111</t>
  </si>
  <si>
    <t>труба 300</t>
  </si>
  <si>
    <t>112,113</t>
  </si>
  <si>
    <t>ПОЛИЭТИЛЕН</t>
  </si>
  <si>
    <t>114</t>
  </si>
  <si>
    <t>труба 100</t>
  </si>
  <si>
    <t>102-104,115-117</t>
  </si>
  <si>
    <t>105-107,118-120</t>
  </si>
  <si>
    <t>Земляные работы монтаж (п.1-18,32-41)</t>
  </si>
  <si>
    <t>Земляные работы демонтаж (п.78-99)</t>
  </si>
  <si>
    <t>Водопровод, в том числе:</t>
  </si>
  <si>
    <t xml:space="preserve">демонтаж </t>
  </si>
  <si>
    <t>устройство колодца</t>
  </si>
  <si>
    <t>труба 300-500</t>
  </si>
  <si>
    <t>труба100</t>
  </si>
  <si>
    <t>НЕ в зоне ЛЭП:</t>
  </si>
  <si>
    <t>чугунные фас части 150-500</t>
  </si>
  <si>
    <t>стальные фас части 150-500 (п.162)</t>
  </si>
  <si>
    <t>стал неразр футляр 300-700</t>
  </si>
  <si>
    <t>футляр 300-700</t>
  </si>
  <si>
    <t>Труба  150-250 (105-109,124,125,126,131,132,133,135,136,140,236-243,253-262)</t>
  </si>
  <si>
    <t>Труба  300-500 (102-104,112,113,122,123,130,234-235,248-252,263-274)</t>
  </si>
  <si>
    <t>стальной футляр 300-700 (п.194-199,200-205,206-211)</t>
  </si>
  <si>
    <t>демонтаж труб (п.292-301)</t>
  </si>
  <si>
    <t>открытая 150-250 (2Д)</t>
  </si>
  <si>
    <t>9</t>
  </si>
  <si>
    <t>устройство камер (п.307-371)</t>
  </si>
  <si>
    <t>Стоимость 1 м водопровода в ценах на 01.01.2020</t>
  </si>
  <si>
    <t>Газопровод</t>
  </si>
  <si>
    <t>Расчет  № 14.</t>
  </si>
  <si>
    <t>Расчет  № 12.</t>
  </si>
  <si>
    <t>Канализация*</t>
  </si>
  <si>
    <t>* В связи с аналогичными технологиями и используемыми материалами в качестве сметы-аналога использована смета на водопровод (расчет 11)</t>
  </si>
  <si>
    <t>Канализация</t>
  </si>
  <si>
    <t>труба 150-250</t>
  </si>
  <si>
    <t xml:space="preserve"> (1Д-600м, 2Д-150м):</t>
  </si>
  <si>
    <t xml:space="preserve">труба 150-250 </t>
  </si>
  <si>
    <t>2Д:</t>
  </si>
  <si>
    <t>Канализация (по аналогии с водопроводом), в том числе:</t>
  </si>
  <si>
    <t>2Д450+1Д в щите:</t>
  </si>
  <si>
    <t>Закрытая проходка  в щите Д=2000мм</t>
  </si>
  <si>
    <t>объем грунта от прокладки</t>
  </si>
  <si>
    <t>ИТОГО по канализации</t>
  </si>
  <si>
    <t>Расчет  № 13.</t>
  </si>
  <si>
    <t>Газопровод. Сохранность существующего газопровода</t>
  </si>
  <si>
    <t>стальной разрезной футляр, лс.2</t>
  </si>
  <si>
    <t>Стальной разрезной футляр</t>
  </si>
  <si>
    <t>83,5 м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</si>
  <si>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февраль 2020)</t>
    </r>
  </si>
  <si>
    <t>Составлена в ценах февраль 2020 г. тыс. руб.</t>
  </si>
  <si>
    <t>газопровод (зем работы) лс.1,3,4</t>
  </si>
  <si>
    <t>антикор защита (КИП на трубопроводе) , лс.5,6</t>
  </si>
  <si>
    <t>25 м</t>
  </si>
  <si>
    <t>Расчет  № 16.</t>
  </si>
  <si>
    <t>Расчет  № 15.</t>
  </si>
  <si>
    <t>Сбор и передача данных "Гормост" (и "Моссвет")</t>
  </si>
  <si>
    <t>Стоимость  СПД "Гормост", СПД "Моссвет" в ценах на 01.01.2020</t>
  </si>
  <si>
    <t>Расчет  № 17.</t>
  </si>
  <si>
    <t>Стоимость  в уровне цен на 01.01.2020</t>
  </si>
  <si>
    <t>Расчет  № 19.</t>
  </si>
  <si>
    <t>Расчет  № 20.</t>
  </si>
  <si>
    <t>Расчет  № 21.</t>
  </si>
  <si>
    <t>Расчет  № 22.</t>
  </si>
  <si>
    <t>Расчет  № 23.</t>
  </si>
  <si>
    <t>Расчет  № 24.</t>
  </si>
  <si>
    <t>Итого на эстакаду в ценах на 01.01.2020:</t>
  </si>
  <si>
    <t>Расчет  № 25.</t>
  </si>
  <si>
    <t>Вынос трассы канализации (266м) (см.1-11)</t>
  </si>
  <si>
    <t>Вынос трассы водопровод (1287м) (см.1-11)</t>
  </si>
  <si>
    <t>Технадзор эксплуатирующих организаций</t>
  </si>
  <si>
    <t>Данные из объекта-аналога:</t>
  </si>
  <si>
    <t>Продолжительность, дней</t>
  </si>
  <si>
    <t>Стоимость СМР, тыс.руб (на январь 2000г.)</t>
  </si>
  <si>
    <t>общая численность специалистов, чел</t>
  </si>
  <si>
    <t>индекс квал, 1,32</t>
  </si>
  <si>
    <t>факт время участния, днец</t>
  </si>
  <si>
    <t>коэффициент участия</t>
  </si>
  <si>
    <t>РЖД</t>
  </si>
  <si>
    <t>ведущий специалист</t>
  </si>
  <si>
    <t>индекс квал, 1</t>
  </si>
  <si>
    <t>индекс квал, 0,45</t>
  </si>
  <si>
    <t>техник</t>
  </si>
  <si>
    <t>коэффициент участия общий</t>
  </si>
  <si>
    <t>цена за услуги технадзора, руб.</t>
  </si>
  <si>
    <t>главный специалист</t>
  </si>
  <si>
    <t>базовая, 2000г</t>
  </si>
  <si>
    <t>текущая, 4 квартал 2019г.</t>
  </si>
  <si>
    <t>старший электромеханик</t>
  </si>
  <si>
    <t>мастер дорожный</t>
  </si>
  <si>
    <t>Электромеханик</t>
  </si>
  <si>
    <t>Бригадир</t>
  </si>
  <si>
    <t>индекс квал, 2,24</t>
  </si>
  <si>
    <t>индекс квал, 1,83</t>
  </si>
  <si>
    <t>индекс квал, 1,66</t>
  </si>
  <si>
    <t>индекс квал, 1,49</t>
  </si>
  <si>
    <t>Расчет на 1 этап</t>
  </si>
  <si>
    <t>Расчет на 2 этап</t>
  </si>
  <si>
    <t>Для проектируемого объекта</t>
  </si>
  <si>
    <t>К перевода на 3 квартал 2019г. (Приказ МКЭ-ОД/19-52 от 30.08.2019):</t>
  </si>
  <si>
    <t>К перевода на 4 квартал 2019г. (Приказ МКЭ-ОД/19-52 от 30.08.2019):</t>
  </si>
  <si>
    <t>ИТОГО на 1 этап:</t>
  </si>
  <si>
    <t>К перевода на 4 квартал 2019г. (Приказ МКЭ-ОД/19-52 от 30.08.2019)</t>
  </si>
  <si>
    <t>К перевода на 1 квартал 2017г. (Приказ МКЭ-ОД/16-80 от 30.12.2016)</t>
  </si>
  <si>
    <t>РАСЧЕТ НАЧАЛЬНОЙ  (МАКСИМАЛЬНОЙ)  ЦЕНЫ                                                                                   КОНТРАКТА</t>
  </si>
  <si>
    <t xml:space="preserve">на выполнение проектно-изыскательских работ по объекту:                                                             </t>
  </si>
  <si>
    <t xml:space="preserve">Основание для расчета: </t>
  </si>
  <si>
    <t>1. Техническое задание.</t>
  </si>
  <si>
    <t>Наименование работ</t>
  </si>
  <si>
    <t>Стоимость работ в 
текущих ценах на момент формирования начальной (максимальной)                                       цены контракта                                       2 кв. 2020г.                              (руб.)</t>
  </si>
  <si>
    <t xml:space="preserve"> Прогнозный индекс инфляции на период проектирования</t>
  </si>
  <si>
    <t>Начальная (максимальная) цена контракта с учетом прогнозного индекса инфляции на период проектирования                             (руб.)</t>
  </si>
  <si>
    <t>Инженерные изыскания</t>
  </si>
  <si>
    <t xml:space="preserve">Проектные работы стадия "Проектная документация", "Рабочая документация" </t>
  </si>
  <si>
    <t>ВСЕГО:</t>
  </si>
  <si>
    <t>Сроки выполнения работ по календарному плану - 210  дней.</t>
  </si>
  <si>
    <t>Расчет прогнозного индекса инфляции ((4,378/4,273)-1)/2+1=1,012</t>
  </si>
  <si>
    <t>Продолжительность строительства  1 этап - 450 дней</t>
  </si>
  <si>
    <t>Начало строительства июль 2020</t>
  </si>
  <si>
    <t>Аванс 15%</t>
  </si>
  <si>
    <t>6 месяцев</t>
  </si>
  <si>
    <t>2020 год</t>
  </si>
  <si>
    <t>2021 год</t>
  </si>
  <si>
    <t>лимит затрат на  2021 год - 42,5%</t>
  </si>
  <si>
    <t>лимит затрат на  2020 год - 42,5%</t>
  </si>
  <si>
    <r>
      <t>2020 год</t>
    </r>
    <r>
      <rPr>
        <sz val="11"/>
        <rFont val="Times New Roman"/>
        <family val="1"/>
        <charset val="204"/>
      </rPr>
      <t xml:space="preserve"> </t>
    </r>
  </si>
  <si>
    <r>
      <t>2021 год</t>
    </r>
    <r>
      <rPr>
        <sz val="11"/>
        <rFont val="Times New Roman"/>
        <family val="1"/>
        <charset val="204"/>
      </rPr>
      <t xml:space="preserve"> </t>
    </r>
  </si>
  <si>
    <t>Охрана 1 этап (365 дней: 183 дня -2020год; 182 дня -2021год)</t>
  </si>
  <si>
    <t>174,13/1,2*19*24*1=637 315,8</t>
  </si>
  <si>
    <t>177,35/1,2*1*24*281=645 554,0</t>
  </si>
  <si>
    <t>Итого 1 этап 1 282 869,8руб.</t>
  </si>
  <si>
    <t>Итого по расчету</t>
  </si>
  <si>
    <t>Продолжительность строительства  2 этап - 450 дней</t>
  </si>
  <si>
    <t>Охрана 2 этап (365 дней: 183 дня -2020год; 182 дня -2021год)</t>
  </si>
  <si>
    <t>Итого 2 этап 1 282 869,8руб.</t>
  </si>
  <si>
    <t>Охрана 3 этап (365 дней: 183 дня -2020год; 182 дня -2021год)</t>
  </si>
  <si>
    <t>Итого 3 этап 1 282 869,8руб.</t>
  </si>
  <si>
    <t>АИИСКУЭ Моссвет</t>
  </si>
  <si>
    <t>Том 9.6.</t>
  </si>
  <si>
    <t>Расчет  № 26.</t>
  </si>
  <si>
    <t>Строительство железнодорожного путепровода №1, №2</t>
  </si>
  <si>
    <t>п.11 ССР</t>
  </si>
  <si>
    <t>Компенсационная стоимость за предоставление технологических "окон" при строительстве</t>
  </si>
  <si>
    <t>руб. в ценах на октябрь 2016</t>
  </si>
  <si>
    <t>С коэффицентом перевода на 01.01.2020</t>
  </si>
  <si>
    <t>Дендрология (вырубка)</t>
  </si>
  <si>
    <t xml:space="preserve">Вырубка </t>
  </si>
  <si>
    <t>Площадь (том 7.1, Дендрология)</t>
  </si>
  <si>
    <t>Вырубка  зеленых насаждений</t>
  </si>
  <si>
    <t>Итого на 01.01.2020 на 1 эстакаду</t>
  </si>
  <si>
    <t>Итого на 01.01.2020 на 2 путепровода</t>
  </si>
  <si>
    <t xml:space="preserve">        НЦС 81-02-08-2020</t>
  </si>
  <si>
    <t xml:space="preserve">        НЦС 81-02-09-2020</t>
  </si>
  <si>
    <t xml:space="preserve">        НЦС 81-02-16-2020</t>
  </si>
  <si>
    <t>1. Приказ Минстроя России от 30.03.2020 № 175/пр.</t>
  </si>
  <si>
    <t>6.</t>
  </si>
  <si>
    <t>(по заключению МГЭ)</t>
  </si>
  <si>
    <t>Утилизация мусора от разборки путепровода</t>
  </si>
  <si>
    <t>16132 т</t>
  </si>
  <si>
    <t>Расчет  № 2.1.</t>
  </si>
  <si>
    <t>том 9.3.18.</t>
  </si>
  <si>
    <t>Инженерные системы путепровода</t>
  </si>
  <si>
    <t>Стоимость на путепровод в ценах на 01.01.2020</t>
  </si>
  <si>
    <t>количество служебных помещений</t>
  </si>
  <si>
    <t>длина путепровода</t>
  </si>
  <si>
    <t>310м</t>
  </si>
  <si>
    <t>Электрооборудование служебных помещений 9.3.18</t>
  </si>
  <si>
    <t>Отопление и вентиляция служебных помещений 9.3.18</t>
  </si>
  <si>
    <t>Автоматизированная система безопасности и диспетчеризации служебных помещений 9.3.18</t>
  </si>
  <si>
    <t>АИИСКУЭ "Гормост" 9.3.18</t>
  </si>
  <si>
    <t>Электроснабжение служебных помещений 9.3.15</t>
  </si>
  <si>
    <t>Видеонаблюдение 9.3.17</t>
  </si>
  <si>
    <t>75м</t>
  </si>
  <si>
    <t>Светофорные объекты</t>
  </si>
  <si>
    <t>Том 9.2.4 Светофоры</t>
  </si>
  <si>
    <t>Светфоры</t>
  </si>
  <si>
    <t>Светофоры</t>
  </si>
  <si>
    <t>1 объект</t>
  </si>
  <si>
    <t>Светофорный объект</t>
  </si>
  <si>
    <t>Стоимость 1 светофорного объекта  в ценах на 01.01.2020</t>
  </si>
  <si>
    <t>- Разработка проектной документации</t>
  </si>
  <si>
    <t>Гормост</t>
  </si>
  <si>
    <t>Мосводосток</t>
  </si>
  <si>
    <t>ОЭК, МОЭСК, Моссвет</t>
  </si>
  <si>
    <t>* в затратах на выполнение  работ по проектированию объекта учтены:</t>
  </si>
  <si>
    <t>** в затратах на выполнение  работ по строительству объекта учтены:</t>
  </si>
  <si>
    <t>Затраты на подготовку проектной документации и выполнение инженерных изысканий*, в том числе:</t>
  </si>
  <si>
    <t>Затраты на строительство объекта**, в том числе:</t>
  </si>
  <si>
    <t>Авторский надзор*</t>
  </si>
  <si>
    <t>Согласование проектной документации*</t>
  </si>
  <si>
    <t>* с учетом резерва средств на непредвиденные работы и затраты-2%</t>
  </si>
  <si>
    <t>Процент по объекту аналогу</t>
  </si>
  <si>
    <t>с К перевода из марта 2017 на 01.01.2020 = 1,1478</t>
  </si>
  <si>
    <r>
      <t xml:space="preserve">Корректировка стоимости на 01.01.2020. -  </t>
    </r>
    <r>
      <rPr>
        <b/>
        <sz val="12"/>
        <color rgb="FFFF0000"/>
        <rFont val="Times New Roman"/>
        <family val="1"/>
        <charset val="204"/>
      </rPr>
      <t>к = 1,0055</t>
    </r>
  </si>
  <si>
    <t>с К перевода = 1,1478</t>
  </si>
  <si>
    <t>с К перевода из июля 2013 на 01.01.2020 = 1,4042</t>
  </si>
  <si>
    <t>К перевода из июля 2013 на 01.01.2020 = 1,4042</t>
  </si>
  <si>
    <t>К перевода из ноября 2015 на 01.01.2020 = 1,2059</t>
  </si>
  <si>
    <t>К перевода из февраля 2020 на 01.01.2020 = 0,9992</t>
  </si>
  <si>
    <t>К перевода из августа 2019 на 01.01.2020 = 1,0085</t>
  </si>
  <si>
    <t>с К перевода = 1,4086</t>
  </si>
  <si>
    <t>К перевода из сентября 2019 на 01.01.2020 = 1,0055</t>
  </si>
  <si>
    <t>К=1,1344</t>
  </si>
  <si>
    <t>с К перевода из агуста 2019 на 01.01.2020 = 1,0085</t>
  </si>
  <si>
    <t>В связи с необходимостью работы в технологические "окна" РЖД и отстутствием исходных данных о количестве "окон" для расчета используется стоимость "окон" по объекту-аналогу:</t>
  </si>
  <si>
    <t xml:space="preserve">Коэффициент изменения стоимости декабря 2019г. К уровню цен 2000г. </t>
  </si>
  <si>
    <t>ИТОГО на 2 этап:</t>
  </si>
  <si>
    <t>ИТОГО на 3 этап:</t>
  </si>
  <si>
    <t xml:space="preserve">1. Расчет  индекса фактической инфляции с использованием  ИПЦ Росстата </t>
  </si>
  <si>
    <t>Кобоб. =1,0000*1,0052*1,0168*1,0042 = 1,0264</t>
  </si>
  <si>
    <t>Расчет индексов прогнозной инфляции (по письму Минэкономразвития России от 26.09.2019 г.  № Д14и-32899, отрасль "Инвестиции в основной капитал"):</t>
  </si>
  <si>
    <t>Годовой индекс прогнозной инфляции:</t>
  </si>
  <si>
    <t xml:space="preserve">на  2020 год </t>
  </si>
  <si>
    <t xml:space="preserve">на  2021 год </t>
  </si>
  <si>
    <t>Ежемесячный индекс прогнозной инфляции:</t>
  </si>
  <si>
    <t>Кинф. на 2020 год = (1,00295^6+1,00295^11)/2 = 1,0254</t>
  </si>
  <si>
    <t>Стоимость работ в ценах на дату формирования начальной (максимальной) цены контракта на апрель 2020</t>
  </si>
  <si>
    <t>Кинф. на 2021 год = 1,00295^11*(1,00303+1,00303^6)/2 = 1,044</t>
  </si>
  <si>
    <t>Кинф.= 0,15*1+0,425*1,0254+0,425*1,044 = 1,0295</t>
  </si>
  <si>
    <t>Стоимость работ в ценах  
на 01.01.2020</t>
  </si>
  <si>
    <t>мес</t>
  </si>
  <si>
    <t>п.2,363. табл 9, МРР 3.2.81-12</t>
  </si>
  <si>
    <t>открытая</t>
  </si>
  <si>
    <t>закрытая</t>
  </si>
  <si>
    <t>месяца для расчета технадзора</t>
  </si>
  <si>
    <t>п.1.29 табл 9, МРР 3.2.81-12</t>
  </si>
  <si>
    <t xml:space="preserve">Итого с о снижением до уровня выделенных лимитов </t>
  </si>
  <si>
    <t>- Затраты на выполнение работ по строительству (в том числе вынос трассы и технадзор эксплуатирующих организаций)</t>
  </si>
  <si>
    <t>на выполнение проектно-изыскательских работ и работ по строительству объекта капитального строительства</t>
  </si>
  <si>
    <t>2. Техническое задание на выполнение проектно-изыскательских работ.</t>
  </si>
  <si>
    <t>3. Предварительная ведомость объемов работ</t>
  </si>
  <si>
    <t>4. Укрупненные нормативы цены строительства:</t>
  </si>
  <si>
    <t>5. Объекты-аналоги:</t>
  </si>
  <si>
    <t>ПИР с НДС</t>
  </si>
  <si>
    <t>СМР с НДС</t>
  </si>
  <si>
    <t>Этап 2.3.:</t>
  </si>
  <si>
    <t>Этап 2.2.:</t>
  </si>
  <si>
    <t xml:space="preserve">Этап 2.1.: </t>
  </si>
  <si>
    <t xml:space="preserve">        Заключение МГЭ</t>
  </si>
  <si>
    <t xml:space="preserve">Этап 1:
</t>
  </si>
  <si>
    <t>Этап 2:</t>
  </si>
  <si>
    <t>Этап 3:</t>
  </si>
  <si>
    <t xml:space="preserve">Этап 2.2.: </t>
  </si>
  <si>
    <t xml:space="preserve">Этап 2.3.: </t>
  </si>
  <si>
    <t>2.  Объект-аналог</t>
  </si>
  <si>
    <t xml:space="preserve">2.  Объект-аналог: </t>
  </si>
  <si>
    <t xml:space="preserve">Аналог: </t>
  </si>
  <si>
    <t>Инженерные системы   путепровода</t>
  </si>
  <si>
    <t xml:space="preserve">Аналог:  </t>
  </si>
  <si>
    <t>Аналог:</t>
  </si>
  <si>
    <t xml:space="preserve">Аналог. </t>
  </si>
  <si>
    <t>Аналог.</t>
  </si>
  <si>
    <t xml:space="preserve">Объект-аналог: </t>
  </si>
  <si>
    <t>м трассы (по УГЕ)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</si>
  <si>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февраль  2018)</t>
    </r>
  </si>
  <si>
    <t>ВЗИС 4,1%</t>
  </si>
  <si>
    <t xml:space="preserve"> с К перевода из февраль 2018 на 01.01.2020</t>
  </si>
  <si>
    <t>3 квартал-3,99</t>
  </si>
  <si>
    <t>4 квартал-4,35</t>
  </si>
  <si>
    <t>февраль 2018</t>
  </si>
  <si>
    <t>согласно ТСНБ-2001 доп.4</t>
  </si>
  <si>
    <t xml:space="preserve">К перевода из уровня цен утверждения февраль 2018 на 01.01.2020 </t>
  </si>
  <si>
    <t>01-01</t>
  </si>
  <si>
    <t>Водопропускные трубя</t>
  </si>
  <si>
    <t>08-02-02</t>
  </si>
  <si>
    <t>6,36 га</t>
  </si>
  <si>
    <t>с К перевода из февраль 2018 на 01.01.2020 = 1,1152</t>
  </si>
  <si>
    <t>ЗУ 2,7</t>
  </si>
  <si>
    <t>ЗУ 2,7%</t>
  </si>
  <si>
    <t>с К перевода = 1,1152</t>
  </si>
  <si>
    <t>Дорожную обстановку</t>
  </si>
  <si>
    <t>(смета №02-01-06)</t>
  </si>
  <si>
    <t>согласно ТСНБ-2001</t>
  </si>
  <si>
    <t>затраты ЗУ 2,7%</t>
  </si>
  <si>
    <t>Столбики сигнальные</t>
  </si>
  <si>
    <t>1,2</t>
  </si>
  <si>
    <t>Разметка</t>
  </si>
  <si>
    <t>3-11</t>
  </si>
  <si>
    <t>Дорожные знаки</t>
  </si>
  <si>
    <t>12-23</t>
  </si>
  <si>
    <t>Зу 2,7%</t>
  </si>
  <si>
    <t>Открытая прокладка диам. 1000 мм</t>
  </si>
  <si>
    <t>ТРУБЫ</t>
  </si>
  <si>
    <t>Линия связи</t>
  </si>
  <si>
    <t>на 304 м</t>
  </si>
  <si>
    <t xml:space="preserve">ИТОГО </t>
  </si>
  <si>
    <t>февраль  2018</t>
  </si>
  <si>
    <t>нет</t>
  </si>
  <si>
    <t>ОБЪЕКТ-АНАЛОГ: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</t>
  </si>
  <si>
    <t xml:space="preserve">ОБЪЕКТ-АНАЛОГ: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 </t>
  </si>
  <si>
    <t>06-01-01</t>
  </si>
  <si>
    <t>Составлена в ценах февраль 2018 г. тыс. руб.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</si>
  <si>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февраль 2018)</t>
    </r>
  </si>
  <si>
    <t xml:space="preserve">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 </t>
  </si>
  <si>
    <t>ЛС 01-02-01</t>
  </si>
  <si>
    <t>ЛС. 02-01-06</t>
  </si>
  <si>
    <t>ОБЪЕКТ-АНАЛОГ:</t>
  </si>
  <si>
    <t>Вырубка зеленых насаждений ЛС 01-01-01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</si>
  <si>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февраль 2018 г.)</t>
    </r>
  </si>
  <si>
    <t>Вертикальная планировка (02-01-05)</t>
  </si>
  <si>
    <t xml:space="preserve">Малые формы </t>
  </si>
  <si>
    <t xml:space="preserve">Озеленение 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</si>
  <si>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февраль 2018)</t>
    </r>
  </si>
  <si>
    <t xml:space="preserve">ОБЪЕКТ-АНАЛОГ: 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 </t>
  </si>
  <si>
    <t>3 кв. 2017</t>
  </si>
  <si>
    <t>Стоимость</t>
  </si>
  <si>
    <t>Протяженность</t>
  </si>
  <si>
    <t>Стоимость за ед.</t>
  </si>
  <si>
    <t>Расчет по объекту-аналогу</t>
  </si>
  <si>
    <t>общая стоимость проектно-изыскательских работ по объекту аналогу (Реестр стоимостей по проектно-изыскательским работам (п.1))</t>
  </si>
  <si>
    <t>Приложение №1 к Протоколу НМЦК</t>
  </si>
  <si>
    <t>Утверждаю:Начальник отдела ____________________ И.А. Иванов (тел. 8-916-606-91-39)</t>
  </si>
  <si>
    <t>Составил: Начальник отдела ____________________ И.А. Иванов (тел. 8-916-606-91-39)</t>
  </si>
  <si>
    <r>
      <rPr>
        <b/>
        <sz val="14"/>
        <color theme="1"/>
        <rFont val="Times New Roman"/>
        <family val="1"/>
        <charset val="204"/>
      </rPr>
      <t>Объект аналог: Выполнение проектных, изыскательских и строительно-монтажных работ по объекту: капитальный ремонт автомобильной дороги "Беспятово - Воронино"                                          км 0+000 - км 1+487 в городском округе Зарайск Московской области (Обустройство дополнительными линиями наружного освещения аварийно-опасных участков автомобильных дорог общего пользования регионального и межмуниципального значения Московской области)</t>
    </r>
    <r>
      <rPr>
        <b/>
        <sz val="14"/>
        <rFont val="Times New Roman"/>
        <family val="1"/>
        <charset val="204"/>
      </rPr>
      <t xml:space="preserve">
Положительное заключение Мособлэкспертизы по проверке достоверности определения сметной стоимости от 26.06.2023 № 50-1-1-2-035791-2023 </t>
    </r>
  </si>
  <si>
    <t>Стоимость руб (на май 2023), руб.</t>
  </si>
  <si>
    <t>Стоимость единицы изм, руб (на май 2023)</t>
  </si>
  <si>
    <t>Стоимость, руб. (на май 2023)</t>
  </si>
  <si>
    <t xml:space="preserve">общая стоимость строительно-монтажных работ по объекту аналогу, заключение 26.06.2023 № 50-1-1-2-035791-2023 </t>
  </si>
  <si>
    <t>Приложения:
- Заключение Мособлэкспертизы от 26.06.2023 № 50-1-1-2-035791-2023 ;
- Рабочий проект № 153-23-Р-НО, 153-23-Р-ЭС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</t>
  </si>
  <si>
    <t>Объект-проектируемый
Выполнение работ и оказание услуг, связанных с одновременным выполнением инженерных изысканий, подготовкой проектной документации, разработкой рабочей документации, выполнением работ по капитальному ремонту автомобильной дороги ТУ Обушковское д Козенки Дорога от примыкания к региональной дороге ММК П. Слобода Нахабино- Чесноково, расположенного около д № 53 в д. Чесноково, проходящая между граниами д. Юрьево и д. Козенки и далее вдоль границы д Козенки до примыкания. км 0+645 - км 0+947 в городском округе Истра Московской области (Обустройство дополнительными линиями наружного освещения аварийно-опасных участков автомобильных дорог общего пользования регионального и межмуниципального значения Московской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</si>
</sst>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\ _₽_-;\-* #,##0.00\ _₽_-;_-* &quot;-&quot;??\ _₽_-;_-@_-"/>
    <numFmt numFmtId="165" formatCode="#,##0.00\ &quot;₽&quot;"/>
    <numFmt numFmtId="166" formatCode="#,##0.0000"/>
    <numFmt numFmtId="167" formatCode="#,##0.000"/>
    <numFmt numFmtId="168" formatCode="_-* #,##0.00_р_._-;\-* #,##0.00_р_._-;_-* &quot;-&quot;??_р_._-;_-@_-"/>
    <numFmt numFmtId="169" formatCode="_-* #,##0_р_._-;\-* #,##0_р_._-;_-* &quot;-&quot;??_р_._-;_-@_-"/>
    <numFmt numFmtId="170" formatCode="0.0000"/>
    <numFmt numFmtId="171" formatCode="0.000"/>
    <numFmt numFmtId="172" formatCode="#,##0.00000"/>
    <numFmt numFmtId="173" formatCode="_-* #,##0.000_р_._-;\-* #,##0.000_р_._-;_-* &quot;-&quot;??_р_._-;_-@_-"/>
    <numFmt numFmtId="174" formatCode="0.0%"/>
    <numFmt numFmtId="175" formatCode="0.00000"/>
    <numFmt numFmtId="176" formatCode="#,##0.0000000000"/>
    <numFmt numFmtId="177" formatCode="General_)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rgb="FF00B0F0"/>
      <name val="Arial Cyr"/>
      <charset val="204"/>
    </font>
    <font>
      <sz val="14"/>
      <color theme="1"/>
      <name val="Arial Cyr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Arial Cyr"/>
      <charset val="204"/>
    </font>
    <font>
      <sz val="11"/>
      <color indexed="8"/>
      <name val="Times New Roman"/>
      <family val="1"/>
      <charset val="204"/>
    </font>
    <font>
      <sz val="12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Arial Cyr"/>
      <family val="2"/>
      <charset val="204"/>
    </font>
    <font>
      <u/>
      <sz val="12"/>
      <color theme="1"/>
      <name val="Times New Roman"/>
      <family val="1"/>
      <charset val="204"/>
    </font>
    <font>
      <u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u/>
      <sz val="12"/>
      <color rgb="FFFF0000"/>
      <name val="Calibri"/>
      <family val="2"/>
      <charset val="204"/>
      <scheme val="minor"/>
    </font>
    <font>
      <b/>
      <u/>
      <sz val="12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0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Courier"/>
      <family val="1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Courier"/>
      <family val="3"/>
    </font>
    <font>
      <b/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7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0" fontId="6" fillId="0" borderId="0"/>
    <xf numFmtId="168" fontId="20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0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79" fillId="0" borderId="0">
      <alignment horizontal="left" vertical="top"/>
    </xf>
    <xf numFmtId="0" fontId="79" fillId="0" borderId="0">
      <alignment horizontal="left" vertical="center"/>
    </xf>
    <xf numFmtId="0" fontId="80" fillId="0" borderId="0">
      <alignment horizontal="left" vertical="top"/>
    </xf>
    <xf numFmtId="0" fontId="20" fillId="0" borderId="0"/>
    <xf numFmtId="177" fontId="81" fillId="0" borderId="0"/>
    <xf numFmtId="177" fontId="81" fillId="0" borderId="0"/>
    <xf numFmtId="0" fontId="82" fillId="0" borderId="0">
      <alignment horizontal="center" vertical="top"/>
    </xf>
    <xf numFmtId="0" fontId="83" fillId="0" borderId="0">
      <alignment horizontal="center" vertical="center"/>
    </xf>
    <xf numFmtId="0" fontId="78" fillId="0" borderId="0"/>
    <xf numFmtId="0" fontId="20" fillId="0" borderId="0"/>
    <xf numFmtId="0" fontId="1" fillId="0" borderId="0"/>
    <xf numFmtId="0" fontId="78" fillId="0" borderId="0"/>
    <xf numFmtId="0" fontId="84" fillId="0" borderId="0"/>
  </cellStyleXfs>
  <cellXfs count="867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/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" fontId="7" fillId="0" borderId="0" xfId="0" applyNumberFormat="1" applyFont="1" applyAlignment="1">
      <alignment horizontal="left" vertical="center"/>
    </xf>
    <xf numFmtId="0" fontId="11" fillId="0" borderId="0" xfId="0" applyFont="1"/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/>
    <xf numFmtId="10" fontId="14" fillId="0" borderId="0" xfId="0" applyNumberFormat="1" applyFont="1"/>
    <xf numFmtId="9" fontId="14" fillId="0" borderId="0" xfId="0" applyNumberFormat="1" applyFont="1"/>
    <xf numFmtId="0" fontId="14" fillId="0" borderId="0" xfId="0" applyNumberFormat="1" applyFont="1"/>
    <xf numFmtId="0" fontId="10" fillId="0" borderId="0" xfId="0" applyFont="1"/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16" fillId="0" borderId="0" xfId="0" applyFont="1"/>
    <xf numFmtId="0" fontId="14" fillId="0" borderId="1" xfId="0" applyFont="1" applyBorder="1"/>
    <xf numFmtId="49" fontId="14" fillId="0" borderId="1" xfId="0" applyNumberFormat="1" applyFont="1" applyBorder="1"/>
    <xf numFmtId="4" fontId="14" fillId="0" borderId="1" xfId="0" applyNumberFormat="1" applyFont="1" applyBorder="1" applyAlignment="1">
      <alignment horizontal="center"/>
    </xf>
    <xf numFmtId="4" fontId="16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horizontal="right" vertical="center"/>
    </xf>
    <xf numFmtId="0" fontId="18" fillId="0" borderId="0" xfId="0" applyFont="1"/>
    <xf numFmtId="4" fontId="18" fillId="0" borderId="0" xfId="0" applyNumberFormat="1" applyFont="1"/>
    <xf numFmtId="4" fontId="14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2" fillId="0" borderId="0" xfId="1" applyFont="1" applyAlignment="1">
      <alignment vertical="center"/>
    </xf>
    <xf numFmtId="49" fontId="22" fillId="0" borderId="13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>
      <alignment vertical="center"/>
    </xf>
    <xf numFmtId="0" fontId="21" fillId="0" borderId="0" xfId="1" applyFont="1" applyAlignment="1">
      <alignment vertical="center"/>
    </xf>
    <xf numFmtId="49" fontId="22" fillId="0" borderId="14" xfId="1" applyNumberFormat="1" applyFont="1" applyBorder="1" applyAlignment="1">
      <alignment horizontal="center" vertical="center"/>
    </xf>
    <xf numFmtId="49" fontId="22" fillId="0" borderId="17" xfId="1" applyNumberFormat="1" applyFont="1" applyBorder="1" applyAlignment="1">
      <alignment horizontal="center" vertical="center"/>
    </xf>
    <xf numFmtId="49" fontId="22" fillId="0" borderId="13" xfId="1" quotePrefix="1" applyNumberFormat="1" applyFont="1" applyBorder="1" applyAlignment="1">
      <alignment horizontal="center" vertical="center"/>
    </xf>
    <xf numFmtId="0" fontId="22" fillId="0" borderId="0" xfId="1" quotePrefix="1" applyFont="1" applyBorder="1" applyAlignment="1">
      <alignment horizontal="center" vertical="center"/>
    </xf>
    <xf numFmtId="0" fontId="22" fillId="0" borderId="0" xfId="1" quotePrefix="1" applyFont="1" applyBorder="1" applyAlignment="1">
      <alignment horizontal="right" vertical="center"/>
    </xf>
    <xf numFmtId="0" fontId="22" fillId="0" borderId="19" xfId="1" applyFont="1" applyBorder="1" applyAlignment="1">
      <alignment horizontal="center" vertical="center"/>
    </xf>
    <xf numFmtId="0" fontId="22" fillId="0" borderId="0" xfId="1" applyFont="1" applyBorder="1" applyAlignment="1">
      <alignment horizontal="left" vertical="center"/>
    </xf>
    <xf numFmtId="2" fontId="22" fillId="0" borderId="0" xfId="1" applyNumberFormat="1" applyFont="1" applyBorder="1" applyAlignment="1">
      <alignment vertical="center"/>
    </xf>
    <xf numFmtId="2" fontId="22" fillId="0" borderId="0" xfId="1" applyNumberFormat="1" applyFont="1" applyBorder="1" applyAlignment="1">
      <alignment horizontal="center" vertical="center"/>
    </xf>
    <xf numFmtId="2" fontId="22" fillId="0" borderId="19" xfId="1" applyNumberFormat="1" applyFont="1" applyBorder="1" applyAlignment="1">
      <alignment horizontal="center" vertical="center"/>
    </xf>
    <xf numFmtId="0" fontId="22" fillId="0" borderId="13" xfId="1" applyFont="1" applyBorder="1" applyAlignment="1">
      <alignment horizontal="center" vertical="center"/>
    </xf>
    <xf numFmtId="0" fontId="22" fillId="0" borderId="13" xfId="1" applyFont="1" applyBorder="1" applyAlignment="1">
      <alignment horizontal="center"/>
    </xf>
    <xf numFmtId="4" fontId="22" fillId="0" borderId="0" xfId="1" applyNumberFormat="1" applyFont="1" applyBorder="1" applyAlignment="1">
      <alignment horizontal="center"/>
    </xf>
    <xf numFmtId="4" fontId="22" fillId="0" borderId="0" xfId="1" applyNumberFormat="1" applyFont="1" applyBorder="1" applyAlignment="1">
      <alignment horizontal="center"/>
    </xf>
    <xf numFmtId="4" fontId="22" fillId="0" borderId="0" xfId="1" applyNumberFormat="1" applyFont="1" applyBorder="1"/>
    <xf numFmtId="4" fontId="22" fillId="0" borderId="19" xfId="1" applyNumberFormat="1" applyFont="1" applyBorder="1"/>
    <xf numFmtId="0" fontId="22" fillId="0" borderId="0" xfId="1" applyFont="1" applyBorder="1" applyAlignment="1">
      <alignment horizontal="left"/>
    </xf>
    <xf numFmtId="4" fontId="22" fillId="0" borderId="19" xfId="1" applyNumberFormat="1" applyFont="1" applyBorder="1" applyAlignment="1">
      <alignment horizontal="center"/>
    </xf>
    <xf numFmtId="0" fontId="22" fillId="0" borderId="27" xfId="1" quotePrefix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9" fontId="22" fillId="0" borderId="32" xfId="1" quotePrefix="1" applyNumberFormat="1" applyFont="1" applyBorder="1" applyAlignment="1">
      <alignment horizontal="center" vertical="center"/>
    </xf>
    <xf numFmtId="0" fontId="22" fillId="0" borderId="33" xfId="1" quotePrefix="1" applyFont="1" applyBorder="1" applyAlignment="1">
      <alignment horizontal="center" vertical="center"/>
    </xf>
    <xf numFmtId="0" fontId="22" fillId="0" borderId="32" xfId="1" quotePrefix="1" applyFont="1" applyBorder="1" applyAlignment="1">
      <alignment horizontal="center" vertical="center"/>
    </xf>
    <xf numFmtId="0" fontId="22" fillId="0" borderId="34" xfId="1" quotePrefix="1" applyFont="1" applyBorder="1" applyAlignment="1">
      <alignment horizontal="center" vertical="center"/>
    </xf>
    <xf numFmtId="49" fontId="22" fillId="0" borderId="30" xfId="1" applyNumberFormat="1" applyFont="1" applyBorder="1" applyAlignment="1">
      <alignment horizontal="center" vertical="top"/>
    </xf>
    <xf numFmtId="0" fontId="22" fillId="0" borderId="31" xfId="1" applyFont="1" applyBorder="1" applyAlignment="1">
      <alignment vertical="top" wrapText="1"/>
    </xf>
    <xf numFmtId="4" fontId="22" fillId="0" borderId="30" xfId="1" applyNumberFormat="1" applyFont="1" applyBorder="1" applyAlignment="1">
      <alignment horizontal="right" vertical="top"/>
    </xf>
    <xf numFmtId="4" fontId="22" fillId="0" borderId="35" xfId="1" applyNumberFormat="1" applyFont="1" applyBorder="1" applyAlignment="1">
      <alignment horizontal="right" vertical="top"/>
    </xf>
    <xf numFmtId="4" fontId="22" fillId="0" borderId="31" xfId="1" applyNumberFormat="1" applyFont="1" applyBorder="1" applyAlignment="1">
      <alignment horizontal="right" vertical="top"/>
    </xf>
    <xf numFmtId="0" fontId="22" fillId="0" borderId="0" xfId="1" applyFont="1" applyAlignment="1">
      <alignment vertical="top"/>
    </xf>
    <xf numFmtId="49" fontId="22" fillId="0" borderId="27" xfId="1" applyNumberFormat="1" applyFont="1" applyBorder="1" applyAlignment="1">
      <alignment horizontal="center" vertical="top"/>
    </xf>
    <xf numFmtId="0" fontId="22" fillId="0" borderId="29" xfId="1" applyFont="1" applyBorder="1" applyAlignment="1">
      <alignment vertical="top" wrapText="1"/>
    </xf>
    <xf numFmtId="4" fontId="22" fillId="0" borderId="27" xfId="1" applyNumberFormat="1" applyFont="1" applyBorder="1" applyAlignment="1">
      <alignment horizontal="right" vertical="top"/>
    </xf>
    <xf numFmtId="4" fontId="22" fillId="0" borderId="28" xfId="1" applyNumberFormat="1" applyFont="1" applyBorder="1" applyAlignment="1">
      <alignment horizontal="right" vertical="top"/>
    </xf>
    <xf numFmtId="4" fontId="22" fillId="0" borderId="29" xfId="1" applyNumberFormat="1" applyFont="1" applyBorder="1" applyAlignment="1">
      <alignment horizontal="right" vertical="top"/>
    </xf>
    <xf numFmtId="49" fontId="21" fillId="0" borderId="32" xfId="1" applyNumberFormat="1" applyFont="1" applyBorder="1" applyAlignment="1">
      <alignment vertical="center"/>
    </xf>
    <xf numFmtId="0" fontId="21" fillId="0" borderId="33" xfId="1" quotePrefix="1" applyFont="1" applyBorder="1" applyAlignment="1">
      <alignment horizontal="center" vertical="center"/>
    </xf>
    <xf numFmtId="4" fontId="21" fillId="0" borderId="32" xfId="1" applyNumberFormat="1" applyFont="1" applyBorder="1" applyAlignment="1">
      <alignment horizontal="right" vertical="center"/>
    </xf>
    <xf numFmtId="4" fontId="21" fillId="0" borderId="34" xfId="1" applyNumberFormat="1" applyFont="1" applyBorder="1" applyAlignment="1">
      <alignment horizontal="right" vertical="center"/>
    </xf>
    <xf numFmtId="4" fontId="21" fillId="0" borderId="33" xfId="1" applyNumberFormat="1" applyFont="1" applyBorder="1" applyAlignment="1">
      <alignment horizontal="right" vertical="center"/>
    </xf>
    <xf numFmtId="49" fontId="22" fillId="0" borderId="17" xfId="1" applyNumberFormat="1" applyFont="1" applyBorder="1" applyAlignment="1">
      <alignment vertical="center"/>
    </xf>
    <xf numFmtId="0" fontId="22" fillId="0" borderId="12" xfId="1" applyFont="1" applyBorder="1" applyAlignment="1">
      <alignment vertical="center"/>
    </xf>
    <xf numFmtId="4" fontId="22" fillId="0" borderId="12" xfId="1" applyNumberFormat="1" applyFont="1" applyBorder="1" applyAlignment="1">
      <alignment vertical="center"/>
    </xf>
    <xf numFmtId="4" fontId="22" fillId="0" borderId="12" xfId="1" applyNumberFormat="1" applyFont="1" applyBorder="1" applyAlignment="1">
      <alignment horizontal="center" vertical="center"/>
    </xf>
    <xf numFmtId="49" fontId="22" fillId="0" borderId="0" xfId="1" applyNumberFormat="1" applyFont="1" applyAlignment="1">
      <alignment vertical="center"/>
    </xf>
    <xf numFmtId="4" fontId="22" fillId="0" borderId="0" xfId="1" applyNumberFormat="1" applyFont="1" applyAlignment="1">
      <alignment vertical="center"/>
    </xf>
    <xf numFmtId="4" fontId="21" fillId="0" borderId="0" xfId="1" applyNumberFormat="1" applyFont="1" applyBorder="1" applyAlignment="1"/>
    <xf numFmtId="4" fontId="21" fillId="0" borderId="19" xfId="1" applyNumberFormat="1" applyFont="1" applyBorder="1" applyAlignment="1"/>
    <xf numFmtId="0" fontId="22" fillId="0" borderId="0" xfId="0" applyFont="1" applyAlignment="1">
      <alignment vertical="center"/>
    </xf>
    <xf numFmtId="4" fontId="22" fillId="0" borderId="19" xfId="0" applyNumberFormat="1" applyFont="1" applyBorder="1" applyAlignment="1">
      <alignment horizontal="center"/>
    </xf>
    <xf numFmtId="4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13" xfId="0" applyFont="1" applyBorder="1" applyAlignment="1">
      <alignment horizontal="center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1" fillId="0" borderId="0" xfId="1" quotePrefix="1" applyFont="1" applyBorder="1" applyAlignment="1">
      <alignment horizontal="center" vertical="center"/>
    </xf>
    <xf numFmtId="49" fontId="22" fillId="0" borderId="22" xfId="1" applyNumberFormat="1" applyFont="1" applyBorder="1" applyAlignment="1">
      <alignment horizontal="center" vertical="top"/>
    </xf>
    <xf numFmtId="0" fontId="22" fillId="0" borderId="24" xfId="1" applyFont="1" applyBorder="1" applyAlignment="1">
      <alignment vertical="top" wrapText="1"/>
    </xf>
    <xf numFmtId="4" fontId="22" fillId="0" borderId="22" xfId="1" applyNumberFormat="1" applyFont="1" applyBorder="1" applyAlignment="1">
      <alignment horizontal="right" vertical="top"/>
    </xf>
    <xf numFmtId="4" fontId="22" fillId="0" borderId="23" xfId="1" applyNumberFormat="1" applyFont="1" applyBorder="1" applyAlignment="1">
      <alignment horizontal="right" vertical="top"/>
    </xf>
    <xf numFmtId="4" fontId="22" fillId="0" borderId="24" xfId="1" applyNumberFormat="1" applyFont="1" applyBorder="1" applyAlignment="1">
      <alignment horizontal="right" vertical="top"/>
    </xf>
    <xf numFmtId="49" fontId="21" fillId="0" borderId="36" xfId="1" applyNumberFormat="1" applyFont="1" applyBorder="1" applyAlignment="1">
      <alignment horizontal="center" vertical="top"/>
    </xf>
    <xf numFmtId="0" fontId="21" fillId="0" borderId="37" xfId="1" applyFont="1" applyBorder="1" applyAlignment="1">
      <alignment vertical="top" wrapText="1"/>
    </xf>
    <xf numFmtId="0" fontId="21" fillId="0" borderId="0" xfId="1" applyFont="1" applyAlignment="1">
      <alignment vertical="top"/>
    </xf>
    <xf numFmtId="49" fontId="21" fillId="0" borderId="38" xfId="1" applyNumberFormat="1" applyFont="1" applyBorder="1" applyAlignment="1">
      <alignment horizontal="center" vertical="top"/>
    </xf>
    <xf numFmtId="0" fontId="21" fillId="0" borderId="39" xfId="1" applyFont="1" applyBorder="1" applyAlignment="1">
      <alignment vertical="top" wrapText="1"/>
    </xf>
    <xf numFmtId="4" fontId="21" fillId="0" borderId="25" xfId="1" applyNumberFormat="1" applyFont="1" applyBorder="1" applyAlignment="1">
      <alignment horizontal="right" vertical="top"/>
    </xf>
    <xf numFmtId="4" fontId="21" fillId="0" borderId="40" xfId="1" applyNumberFormat="1" applyFont="1" applyBorder="1" applyAlignment="1">
      <alignment horizontal="right" vertical="top"/>
    </xf>
    <xf numFmtId="4" fontId="21" fillId="0" borderId="26" xfId="1" applyNumberFormat="1" applyFont="1" applyBorder="1" applyAlignment="1">
      <alignment horizontal="right" vertical="top"/>
    </xf>
    <xf numFmtId="49" fontId="21" fillId="0" borderId="36" xfId="1" applyNumberFormat="1" applyFont="1" applyBorder="1" applyAlignment="1">
      <alignment vertical="center"/>
    </xf>
    <xf numFmtId="0" fontId="21" fillId="0" borderId="37" xfId="1" quotePrefix="1" applyFont="1" applyBorder="1" applyAlignment="1">
      <alignment horizontal="center" vertical="center" wrapText="1"/>
    </xf>
    <xf numFmtId="4" fontId="21" fillId="0" borderId="36" xfId="1" applyNumberFormat="1" applyFont="1" applyBorder="1" applyAlignment="1">
      <alignment horizontal="right" vertical="center"/>
    </xf>
    <xf numFmtId="4" fontId="21" fillId="0" borderId="41" xfId="1" applyNumberFormat="1" applyFont="1" applyBorder="1" applyAlignment="1">
      <alignment horizontal="right" vertical="center"/>
    </xf>
    <xf numFmtId="4" fontId="21" fillId="0" borderId="37" xfId="1" applyNumberFormat="1" applyFont="1" applyBorder="1" applyAlignment="1">
      <alignment horizontal="right" vertical="center"/>
    </xf>
    <xf numFmtId="4" fontId="22" fillId="0" borderId="0" xfId="1" applyNumberFormat="1" applyFont="1" applyBorder="1" applyAlignment="1"/>
    <xf numFmtId="4" fontId="22" fillId="0" borderId="19" xfId="1" applyNumberFormat="1" applyFont="1" applyBorder="1" applyAlignment="1"/>
    <xf numFmtId="2" fontId="22" fillId="0" borderId="0" xfId="1" applyNumberFormat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/>
    </xf>
    <xf numFmtId="49" fontId="22" fillId="0" borderId="13" xfId="1" applyNumberFormat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center"/>
    </xf>
    <xf numFmtId="0" fontId="22" fillId="0" borderId="0" xfId="1" applyFont="1" applyFill="1" applyAlignment="1">
      <alignment horizontal="left" vertical="center"/>
    </xf>
    <xf numFmtId="0" fontId="22" fillId="0" borderId="0" xfId="1" applyFont="1" applyFill="1" applyAlignment="1">
      <alignment vertical="center"/>
    </xf>
    <xf numFmtId="49" fontId="22" fillId="0" borderId="42" xfId="1" applyNumberFormat="1" applyFont="1" applyBorder="1" applyAlignment="1">
      <alignment horizontal="center" vertical="center"/>
    </xf>
    <xf numFmtId="0" fontId="22" fillId="0" borderId="0" xfId="1" quotePrefix="1" applyFont="1" applyFill="1" applyBorder="1" applyAlignment="1">
      <alignment horizontal="right" vertical="center"/>
    </xf>
    <xf numFmtId="0" fontId="22" fillId="0" borderId="0" xfId="1" applyFont="1" applyFill="1" applyBorder="1" applyAlignment="1">
      <alignment horizontal="center" vertical="center"/>
    </xf>
    <xf numFmtId="0" fontId="22" fillId="0" borderId="19" xfId="1" applyFont="1" applyFill="1" applyBorder="1" applyAlignment="1">
      <alignment horizontal="center" vertical="center"/>
    </xf>
    <xf numFmtId="4" fontId="22" fillId="0" borderId="0" xfId="1" applyNumberFormat="1" applyFont="1" applyFill="1" applyBorder="1" applyAlignment="1">
      <alignment horizontal="center"/>
    </xf>
    <xf numFmtId="4" fontId="22" fillId="0" borderId="0" xfId="1" applyNumberFormat="1" applyFont="1" applyFill="1" applyBorder="1" applyAlignment="1">
      <alignment horizontal="center"/>
    </xf>
    <xf numFmtId="4" fontId="22" fillId="0" borderId="0" xfId="1" applyNumberFormat="1" applyFont="1" applyFill="1" applyBorder="1"/>
    <xf numFmtId="4" fontId="22" fillId="0" borderId="19" xfId="1" applyNumberFormat="1" applyFont="1" applyFill="1" applyBorder="1"/>
    <xf numFmtId="4" fontId="22" fillId="0" borderId="0" xfId="1" applyNumberFormat="1" applyFont="1" applyBorder="1" applyAlignment="1">
      <alignment vertical="center"/>
    </xf>
    <xf numFmtId="0" fontId="22" fillId="0" borderId="19" xfId="1" applyFont="1" applyBorder="1" applyAlignment="1">
      <alignment vertical="center"/>
    </xf>
    <xf numFmtId="0" fontId="22" fillId="0" borderId="27" xfId="1" quotePrefix="1" applyFont="1" applyFill="1" applyBorder="1" applyAlignment="1">
      <alignment horizontal="center" vertical="center"/>
    </xf>
    <xf numFmtId="0" fontId="22" fillId="0" borderId="28" xfId="1" applyFont="1" applyFill="1" applyBorder="1" applyAlignment="1">
      <alignment horizontal="center" vertical="center"/>
    </xf>
    <xf numFmtId="0" fontId="22" fillId="0" borderId="29" xfId="1" applyFont="1" applyFill="1" applyBorder="1" applyAlignment="1">
      <alignment horizontal="center" vertical="center"/>
    </xf>
    <xf numFmtId="49" fontId="22" fillId="0" borderId="32" xfId="1" quotePrefix="1" applyNumberFormat="1" applyFont="1" applyFill="1" applyBorder="1" applyAlignment="1">
      <alignment horizontal="center" vertical="center"/>
    </xf>
    <xf numFmtId="0" fontId="22" fillId="0" borderId="33" xfId="1" quotePrefix="1" applyFont="1" applyFill="1" applyBorder="1" applyAlignment="1">
      <alignment horizontal="center" vertical="center"/>
    </xf>
    <xf numFmtId="0" fontId="22" fillId="0" borderId="32" xfId="1" quotePrefix="1" applyFont="1" applyFill="1" applyBorder="1" applyAlignment="1">
      <alignment horizontal="center" vertical="center"/>
    </xf>
    <xf numFmtId="0" fontId="22" fillId="0" borderId="34" xfId="1" quotePrefix="1" applyFont="1" applyFill="1" applyBorder="1" applyAlignment="1">
      <alignment horizontal="center" vertical="center"/>
    </xf>
    <xf numFmtId="49" fontId="22" fillId="0" borderId="30" xfId="1" applyNumberFormat="1" applyFont="1" applyFill="1" applyBorder="1" applyAlignment="1">
      <alignment horizontal="center" vertical="top"/>
    </xf>
    <xf numFmtId="0" fontId="22" fillId="0" borderId="31" xfId="1" applyFont="1" applyFill="1" applyBorder="1" applyAlignment="1">
      <alignment vertical="top" wrapText="1"/>
    </xf>
    <xf numFmtId="4" fontId="22" fillId="0" borderId="0" xfId="1" applyNumberFormat="1" applyFont="1" applyFill="1" applyBorder="1" applyAlignment="1">
      <alignment vertical="center"/>
    </xf>
    <xf numFmtId="4" fontId="21" fillId="0" borderId="0" xfId="1" applyNumberFormat="1" applyFont="1" applyFill="1" applyBorder="1" applyAlignment="1">
      <alignment vertical="center"/>
    </xf>
    <xf numFmtId="4" fontId="22" fillId="0" borderId="31" xfId="1" applyNumberFormat="1" applyFont="1" applyFill="1" applyBorder="1" applyAlignment="1">
      <alignment horizontal="right" vertical="top"/>
    </xf>
    <xf numFmtId="4" fontId="21" fillId="0" borderId="31" xfId="1" applyNumberFormat="1" applyFont="1" applyFill="1" applyBorder="1" applyAlignment="1">
      <alignment horizontal="right" vertical="top"/>
    </xf>
    <xf numFmtId="0" fontId="22" fillId="0" borderId="0" xfId="1" applyFont="1" applyFill="1" applyAlignment="1">
      <alignment horizontal="left" vertical="top"/>
    </xf>
    <xf numFmtId="0" fontId="22" fillId="0" borderId="0" xfId="1" applyFont="1" applyFill="1" applyAlignment="1">
      <alignment vertical="top"/>
    </xf>
    <xf numFmtId="49" fontId="24" fillId="0" borderId="30" xfId="1" applyNumberFormat="1" applyFont="1" applyFill="1" applyBorder="1" applyAlignment="1">
      <alignment horizontal="center" vertical="top"/>
    </xf>
    <xf numFmtId="4" fontId="24" fillId="0" borderId="43" xfId="3" applyNumberFormat="1" applyFont="1" applyFill="1" applyBorder="1" applyAlignment="1">
      <alignment horizontal="left" vertical="center" wrapText="1"/>
    </xf>
    <xf numFmtId="4" fontId="24" fillId="0" borderId="30" xfId="1" applyNumberFormat="1" applyFont="1" applyFill="1" applyBorder="1" applyAlignment="1">
      <alignment horizontal="right" vertical="top"/>
    </xf>
    <xf numFmtId="4" fontId="24" fillId="0" borderId="35" xfId="1" applyNumberFormat="1" applyFont="1" applyFill="1" applyBorder="1" applyAlignment="1">
      <alignment horizontal="right" vertical="top"/>
    </xf>
    <xf numFmtId="4" fontId="27" fillId="0" borderId="31" xfId="1" applyNumberFormat="1" applyFont="1" applyFill="1" applyBorder="1" applyAlignment="1">
      <alignment horizontal="right" vertical="top"/>
    </xf>
    <xf numFmtId="0" fontId="24" fillId="0" borderId="0" xfId="1" applyFont="1" applyFill="1" applyAlignment="1">
      <alignment horizontal="left" vertical="top"/>
    </xf>
    <xf numFmtId="0" fontId="24" fillId="0" borderId="0" xfId="1" applyFont="1" applyFill="1" applyAlignment="1">
      <alignment vertical="top"/>
    </xf>
    <xf numFmtId="0" fontId="24" fillId="0" borderId="31" xfId="1" applyFont="1" applyFill="1" applyBorder="1" applyAlignment="1">
      <alignment vertical="top" wrapText="1"/>
    </xf>
    <xf numFmtId="49" fontId="28" fillId="0" borderId="30" xfId="1" applyNumberFormat="1" applyFont="1" applyFill="1" applyBorder="1" applyAlignment="1">
      <alignment horizontal="center" vertical="top"/>
    </xf>
    <xf numFmtId="0" fontId="24" fillId="0" borderId="0" xfId="1" applyFont="1" applyFill="1" applyBorder="1" applyAlignment="1">
      <alignment horizontal="left" vertical="center" wrapText="1"/>
    </xf>
    <xf numFmtId="4" fontId="28" fillId="0" borderId="30" xfId="1" applyNumberFormat="1" applyFont="1" applyFill="1" applyBorder="1" applyAlignment="1">
      <alignment horizontal="right" vertical="top"/>
    </xf>
    <xf numFmtId="4" fontId="28" fillId="0" borderId="35" xfId="1" applyNumberFormat="1" applyFont="1" applyFill="1" applyBorder="1" applyAlignment="1">
      <alignment horizontal="right" vertical="top"/>
    </xf>
    <xf numFmtId="4" fontId="29" fillId="0" borderId="31" xfId="1" applyNumberFormat="1" applyFont="1" applyFill="1" applyBorder="1" applyAlignment="1">
      <alignment horizontal="right" vertical="top"/>
    </xf>
    <xf numFmtId="0" fontId="28" fillId="0" borderId="0" xfId="1" applyFont="1" applyFill="1" applyAlignment="1">
      <alignment horizontal="left" vertical="top"/>
    </xf>
    <xf numFmtId="0" fontId="28" fillId="0" borderId="0" xfId="1" applyFont="1" applyFill="1" applyAlignment="1">
      <alignment vertical="top"/>
    </xf>
    <xf numFmtId="0" fontId="24" fillId="0" borderId="0" xfId="1" applyFont="1" applyFill="1" applyBorder="1" applyAlignment="1">
      <alignment horizontal="left" vertical="center"/>
    </xf>
    <xf numFmtId="4" fontId="22" fillId="0" borderId="30" xfId="1" applyNumberFormat="1" applyFont="1" applyFill="1" applyBorder="1" applyAlignment="1">
      <alignment horizontal="right" vertical="top"/>
    </xf>
    <xf numFmtId="4" fontId="22" fillId="0" borderId="35" xfId="1" applyNumberFormat="1" applyFont="1" applyFill="1" applyBorder="1" applyAlignment="1">
      <alignment horizontal="right" vertical="top"/>
    </xf>
    <xf numFmtId="4" fontId="21" fillId="0" borderId="31" xfId="1" applyNumberFormat="1" applyFont="1" applyBorder="1" applyAlignment="1">
      <alignment horizontal="right" vertical="top"/>
    </xf>
    <xf numFmtId="0" fontId="22" fillId="0" borderId="0" xfId="1" applyFont="1" applyAlignment="1">
      <alignment horizontal="left" vertical="top"/>
    </xf>
    <xf numFmtId="0" fontId="22" fillId="0" borderId="33" xfId="1" quotePrefix="1" applyFont="1" applyBorder="1" applyAlignment="1">
      <alignment horizontal="left" vertical="center"/>
    </xf>
    <xf numFmtId="164" fontId="22" fillId="0" borderId="32" xfId="2" quotePrefix="1" applyFont="1" applyBorder="1" applyAlignment="1">
      <alignment horizontal="center" vertical="center"/>
    </xf>
    <xf numFmtId="164" fontId="22" fillId="0" borderId="34" xfId="2" quotePrefix="1" applyFont="1" applyBorder="1" applyAlignment="1">
      <alignment horizontal="center" vertical="center"/>
    </xf>
    <xf numFmtId="164" fontId="22" fillId="0" borderId="32" xfId="1" quotePrefix="1" applyNumberFormat="1" applyFont="1" applyBorder="1" applyAlignment="1">
      <alignment horizontal="center" vertical="center"/>
    </xf>
    <xf numFmtId="164" fontId="22" fillId="0" borderId="0" xfId="1" applyNumberFormat="1" applyFont="1" applyAlignment="1">
      <alignment horizontal="left" vertical="center"/>
    </xf>
    <xf numFmtId="0" fontId="22" fillId="0" borderId="43" xfId="1" quotePrefix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49" fontId="22" fillId="0" borderId="43" xfId="1" quotePrefix="1" applyNumberFormat="1" applyFont="1" applyBorder="1" applyAlignment="1">
      <alignment horizontal="center" vertical="center"/>
    </xf>
    <xf numFmtId="0" fontId="22" fillId="0" borderId="43" xfId="1" applyFont="1" applyBorder="1" applyAlignment="1">
      <alignment vertical="center"/>
    </xf>
    <xf numFmtId="0" fontId="21" fillId="0" borderId="43" xfId="1" applyFont="1" applyBorder="1" applyAlignment="1">
      <alignment vertical="center"/>
    </xf>
    <xf numFmtId="49" fontId="22" fillId="0" borderId="43" xfId="1" applyNumberFormat="1" applyFont="1" applyBorder="1" applyAlignment="1">
      <alignment vertical="center"/>
    </xf>
    <xf numFmtId="4" fontId="21" fillId="0" borderId="43" xfId="1" applyNumberFormat="1" applyFont="1" applyBorder="1" applyAlignment="1">
      <alignment vertical="center"/>
    </xf>
    <xf numFmtId="164" fontId="22" fillId="0" borderId="0" xfId="2" applyFont="1" applyBorder="1" applyAlignment="1">
      <alignment horizontal="center" vertical="center"/>
    </xf>
    <xf numFmtId="49" fontId="21" fillId="0" borderId="13" xfId="1" applyNumberFormat="1" applyFont="1" applyBorder="1" applyAlignment="1">
      <alignment vertical="center"/>
    </xf>
    <xf numFmtId="4" fontId="21" fillId="0" borderId="0" xfId="1" applyNumberFormat="1" applyFont="1" applyBorder="1" applyAlignment="1">
      <alignment horizontal="right" vertical="center"/>
    </xf>
    <xf numFmtId="0" fontId="30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0" fontId="22" fillId="0" borderId="0" xfId="1" applyFont="1" applyBorder="1" applyAlignment="1"/>
    <xf numFmtId="4" fontId="22" fillId="0" borderId="0" xfId="1" applyNumberFormat="1" applyFont="1" applyFill="1" applyBorder="1" applyAlignment="1"/>
    <xf numFmtId="4" fontId="22" fillId="0" borderId="19" xfId="1" applyNumberFormat="1" applyFont="1" applyFill="1" applyBorder="1" applyAlignment="1"/>
    <xf numFmtId="4" fontId="21" fillId="0" borderId="0" xfId="1" applyNumberFormat="1" applyFont="1" applyFill="1" applyBorder="1" applyAlignment="1"/>
    <xf numFmtId="49" fontId="25" fillId="0" borderId="13" xfId="1" applyNumberFormat="1" applyFont="1" applyBorder="1" applyAlignment="1">
      <alignment horizontal="center" vertical="center"/>
    </xf>
    <xf numFmtId="0" fontId="25" fillId="0" borderId="0" xfId="1" applyFont="1" applyBorder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2" fontId="22" fillId="0" borderId="0" xfId="1" applyNumberFormat="1" applyFont="1" applyBorder="1" applyAlignment="1">
      <alignment horizontal="center" vertical="center"/>
    </xf>
    <xf numFmtId="0" fontId="22" fillId="0" borderId="33" xfId="1" quotePrefix="1" applyFont="1" applyBorder="1" applyAlignment="1">
      <alignment horizontal="center" vertical="center" wrapText="1"/>
    </xf>
    <xf numFmtId="49" fontId="22" fillId="2" borderId="13" xfId="1" applyNumberFormat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left" vertical="center"/>
    </xf>
    <xf numFmtId="165" fontId="21" fillId="0" borderId="0" xfId="1" applyNumberFormat="1" applyFont="1" applyBorder="1" applyAlignment="1">
      <alignment vertical="center"/>
    </xf>
    <xf numFmtId="0" fontId="21" fillId="0" borderId="0" xfId="1" quotePrefix="1" applyFont="1" applyBorder="1" applyAlignment="1">
      <alignment vertical="center"/>
    </xf>
    <xf numFmtId="4" fontId="21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wrapText="1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2" fontId="22" fillId="0" borderId="0" xfId="1" applyNumberFormat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9" fontId="22" fillId="0" borderId="27" xfId="1" applyNumberFormat="1" applyFont="1" applyBorder="1" applyAlignment="1">
      <alignment horizontal="center" vertical="center"/>
    </xf>
    <xf numFmtId="0" fontId="22" fillId="0" borderId="29" xfId="1" applyFont="1" applyBorder="1" applyAlignment="1">
      <alignment vertical="center" wrapText="1"/>
    </xf>
    <xf numFmtId="4" fontId="22" fillId="0" borderId="27" xfId="1" applyNumberFormat="1" applyFont="1" applyBorder="1" applyAlignment="1">
      <alignment horizontal="right" vertical="center"/>
    </xf>
    <xf numFmtId="4" fontId="22" fillId="0" borderId="28" xfId="1" applyNumberFormat="1" applyFont="1" applyBorder="1" applyAlignment="1">
      <alignment horizontal="right" vertical="center"/>
    </xf>
    <xf numFmtId="4" fontId="22" fillId="0" borderId="29" xfId="1" applyNumberFormat="1" applyFont="1" applyBorder="1" applyAlignment="1">
      <alignment horizontal="right" vertical="center"/>
    </xf>
    <xf numFmtId="4" fontId="21" fillId="0" borderId="0" xfId="1" applyNumberFormat="1" applyFont="1" applyBorder="1" applyAlignment="1">
      <alignment vertical="center"/>
    </xf>
    <xf numFmtId="4" fontId="21" fillId="0" borderId="29" xfId="1" applyNumberFormat="1" applyFont="1" applyBorder="1" applyAlignment="1">
      <alignment horizontal="right" vertical="top"/>
    </xf>
    <xf numFmtId="2" fontId="21" fillId="0" borderId="0" xfId="1" applyNumberFormat="1" applyFont="1" applyAlignment="1">
      <alignment vertical="center"/>
    </xf>
    <xf numFmtId="4" fontId="21" fillId="0" borderId="37" xfId="1" applyNumberFormat="1" applyFont="1" applyFill="1" applyBorder="1" applyAlignment="1">
      <alignment horizontal="right" vertical="center"/>
    </xf>
    <xf numFmtId="4" fontId="21" fillId="0" borderId="0" xfId="0" applyNumberFormat="1" applyFont="1" applyBorder="1" applyAlignment="1"/>
    <xf numFmtId="49" fontId="32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4" fontId="11" fillId="0" borderId="0" xfId="0" applyNumberFormat="1" applyFont="1"/>
    <xf numFmtId="0" fontId="33" fillId="0" borderId="0" xfId="0" applyFont="1" applyAlignment="1">
      <alignment vertical="center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4" fontId="14" fillId="0" borderId="1" xfId="0" applyNumberFormat="1" applyFont="1" applyBorder="1"/>
    <xf numFmtId="0" fontId="17" fillId="0" borderId="0" xfId="0" applyFont="1"/>
    <xf numFmtId="0" fontId="17" fillId="0" borderId="1" xfId="0" applyFont="1" applyBorder="1"/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4" fontId="17" fillId="0" borderId="1" xfId="0" applyNumberFormat="1" applyFont="1" applyBorder="1"/>
    <xf numFmtId="0" fontId="34" fillId="0" borderId="0" xfId="0" applyFont="1" applyAlignment="1">
      <alignment horizontal="center" vertical="center"/>
    </xf>
    <xf numFmtId="0" fontId="34" fillId="0" borderId="0" xfId="0" applyFont="1"/>
    <xf numFmtId="4" fontId="1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18" fillId="0" borderId="48" xfId="0" applyFont="1" applyBorder="1"/>
    <xf numFmtId="0" fontId="18" fillId="0" borderId="49" xfId="0" applyFont="1" applyBorder="1"/>
    <xf numFmtId="0" fontId="18" fillId="0" borderId="50" xfId="0" applyFont="1" applyBorder="1"/>
    <xf numFmtId="0" fontId="11" fillId="0" borderId="51" xfId="0" applyFont="1" applyBorder="1"/>
    <xf numFmtId="0" fontId="11" fillId="0" borderId="0" xfId="0" applyFont="1" applyBorder="1"/>
    <xf numFmtId="0" fontId="11" fillId="0" borderId="52" xfId="0" applyFont="1" applyBorder="1"/>
    <xf numFmtId="0" fontId="35" fillId="0" borderId="0" xfId="0" applyFont="1" applyBorder="1"/>
    <xf numFmtId="4" fontId="11" fillId="0" borderId="0" xfId="0" applyNumberFormat="1" applyFont="1" applyBorder="1"/>
    <xf numFmtId="0" fontId="11" fillId="0" borderId="53" xfId="0" applyFont="1" applyBorder="1"/>
    <xf numFmtId="0" fontId="11" fillId="0" borderId="54" xfId="0" applyFont="1" applyBorder="1"/>
    <xf numFmtId="0" fontId="11" fillId="0" borderId="55" xfId="0" applyFont="1" applyBorder="1"/>
    <xf numFmtId="0" fontId="11" fillId="0" borderId="5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8" fillId="0" borderId="51" xfId="0" applyFont="1" applyBorder="1"/>
    <xf numFmtId="0" fontId="18" fillId="0" borderId="0" xfId="0" applyFont="1" applyBorder="1"/>
    <xf numFmtId="4" fontId="18" fillId="0" borderId="0" xfId="0" applyNumberFormat="1" applyFont="1" applyBorder="1"/>
    <xf numFmtId="4" fontId="18" fillId="0" borderId="52" xfId="0" applyNumberFormat="1" applyFont="1" applyBorder="1"/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4" fontId="21" fillId="0" borderId="0" xfId="0" applyNumberFormat="1" applyFont="1" applyBorder="1" applyAlignment="1">
      <alignment horizont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" fontId="11" fillId="0" borderId="0" xfId="0" applyNumberFormat="1" applyFont="1" applyBorder="1" applyAlignment="1"/>
    <xf numFmtId="4" fontId="11" fillId="0" borderId="52" xfId="0" applyNumberFormat="1" applyFont="1" applyBorder="1" applyAlignment="1"/>
    <xf numFmtId="0" fontId="30" fillId="0" borderId="13" xfId="0" applyFont="1" applyBorder="1" applyAlignment="1">
      <alignment horizontal="center"/>
    </xf>
    <xf numFmtId="0" fontId="30" fillId="0" borderId="0" xfId="0" applyFont="1" applyBorder="1" applyAlignment="1">
      <alignment horizontal="left"/>
    </xf>
    <xf numFmtId="4" fontId="30" fillId="0" borderId="0" xfId="0" applyNumberFormat="1" applyFont="1" applyBorder="1" applyAlignment="1">
      <alignment horizontal="center"/>
    </xf>
    <xf numFmtId="4" fontId="30" fillId="0" borderId="0" xfId="0" applyNumberFormat="1" applyFont="1" applyBorder="1" applyAlignment="1"/>
    <xf numFmtId="4" fontId="30" fillId="0" borderId="19" xfId="0" applyNumberFormat="1" applyFont="1" applyBorder="1" applyAlignment="1">
      <alignment horizontal="center"/>
    </xf>
    <xf numFmtId="0" fontId="30" fillId="0" borderId="0" xfId="0" applyFont="1" applyAlignment="1">
      <alignment vertical="center"/>
    </xf>
    <xf numFmtId="49" fontId="30" fillId="0" borderId="13" xfId="1" applyNumberFormat="1" applyFont="1" applyBorder="1" applyAlignment="1">
      <alignment horizontal="center" vertical="center"/>
    </xf>
    <xf numFmtId="2" fontId="30" fillId="0" borderId="0" xfId="1" applyNumberFormat="1" applyFont="1" applyBorder="1" applyAlignment="1">
      <alignment vertical="center"/>
    </xf>
    <xf numFmtId="2" fontId="30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2" fontId="21" fillId="0" borderId="0" xfId="1" applyNumberFormat="1" applyFont="1" applyBorder="1" applyAlignment="1">
      <alignment horizontal="center" vertical="center"/>
    </xf>
    <xf numFmtId="49" fontId="22" fillId="0" borderId="32" xfId="1" quotePrefix="1" applyNumberFormat="1" applyFont="1" applyBorder="1" applyAlignment="1">
      <alignment horizontal="center" vertical="center" wrapText="1"/>
    </xf>
    <xf numFmtId="0" fontId="22" fillId="0" borderId="32" xfId="1" quotePrefix="1" applyFont="1" applyBorder="1" applyAlignment="1">
      <alignment horizontal="center" vertical="center" wrapText="1"/>
    </xf>
    <xf numFmtId="0" fontId="22" fillId="0" borderId="34" xfId="1" quotePrefix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5" xfId="1" applyNumberFormat="1" applyFont="1" applyBorder="1" applyAlignment="1">
      <alignment horizontal="center" vertical="top"/>
    </xf>
    <xf numFmtId="4" fontId="22" fillId="0" borderId="35" xfId="1" applyNumberFormat="1" applyFont="1" applyBorder="1" applyAlignment="1">
      <alignment horizontal="center" vertical="top"/>
    </xf>
    <xf numFmtId="0" fontId="6" fillId="0" borderId="0" xfId="4"/>
    <xf numFmtId="0" fontId="6" fillId="4" borderId="0" xfId="4" applyFill="1"/>
    <xf numFmtId="0" fontId="7" fillId="4" borderId="0" xfId="4" applyFont="1" applyFill="1" applyAlignment="1">
      <alignment horizontal="right"/>
    </xf>
    <xf numFmtId="0" fontId="7" fillId="4" borderId="43" xfId="4" applyFont="1" applyFill="1" applyBorder="1" applyAlignment="1">
      <alignment horizontal="center" vertical="center" wrapText="1"/>
    </xf>
    <xf numFmtId="9" fontId="7" fillId="4" borderId="43" xfId="4" applyNumberFormat="1" applyFont="1" applyFill="1" applyBorder="1" applyAlignment="1">
      <alignment horizontal="center" vertical="center" wrapText="1"/>
    </xf>
    <xf numFmtId="0" fontId="7" fillId="4" borderId="43" xfId="4" applyFont="1" applyFill="1" applyBorder="1" applyAlignment="1">
      <alignment horizontal="left" vertical="center" wrapText="1"/>
    </xf>
    <xf numFmtId="3" fontId="7" fillId="4" borderId="43" xfId="4" applyNumberFormat="1" applyFont="1" applyFill="1" applyBorder="1" applyAlignment="1">
      <alignment horizontal="center" vertical="center"/>
    </xf>
    <xf numFmtId="0" fontId="8" fillId="4" borderId="43" xfId="4" applyFont="1" applyFill="1" applyBorder="1" applyAlignment="1">
      <alignment horizontal="left" vertical="center" wrapText="1"/>
    </xf>
    <xf numFmtId="3" fontId="8" fillId="4" borderId="43" xfId="4" applyNumberFormat="1" applyFont="1" applyFill="1" applyBorder="1" applyAlignment="1">
      <alignment horizontal="center" vertical="center"/>
    </xf>
    <xf numFmtId="169" fontId="22" fillId="4" borderId="0" xfId="5" applyNumberFormat="1" applyFont="1" applyFill="1" applyBorder="1"/>
    <xf numFmtId="169" fontId="21" fillId="4" borderId="0" xfId="5" applyNumberFormat="1" applyFont="1" applyFill="1" applyBorder="1"/>
    <xf numFmtId="0" fontId="22" fillId="4" borderId="0" xfId="4" applyFont="1" applyFill="1" applyAlignment="1"/>
    <xf numFmtId="0" fontId="36" fillId="4" borderId="0" xfId="4" applyFont="1" applyFill="1" applyAlignment="1"/>
    <xf numFmtId="0" fontId="37" fillId="4" borderId="0" xfId="4" applyFont="1" applyFill="1" applyAlignment="1"/>
    <xf numFmtId="169" fontId="38" fillId="4" borderId="0" xfId="5" applyNumberFormat="1" applyFont="1" applyFill="1" applyAlignment="1">
      <alignment horizontal="center"/>
    </xf>
    <xf numFmtId="0" fontId="38" fillId="4" borderId="0" xfId="4" applyFont="1" applyFill="1"/>
    <xf numFmtId="0" fontId="37" fillId="4" borderId="0" xfId="4" applyFont="1" applyFill="1"/>
    <xf numFmtId="169" fontId="37" fillId="4" borderId="0" xfId="5" applyNumberFormat="1" applyFont="1" applyFill="1" applyAlignment="1">
      <alignment horizontal="right"/>
    </xf>
    <xf numFmtId="0" fontId="39" fillId="4" borderId="0" xfId="4" applyFont="1" applyFill="1" applyAlignment="1"/>
    <xf numFmtId="0" fontId="39" fillId="4" borderId="0" xfId="4" applyFont="1" applyFill="1" applyAlignment="1">
      <alignment vertical="center"/>
    </xf>
    <xf numFmtId="0" fontId="39" fillId="4" borderId="0" xfId="4" applyFont="1" applyFill="1"/>
    <xf numFmtId="0" fontId="40" fillId="4" borderId="0" xfId="4" applyFont="1" applyFill="1"/>
    <xf numFmtId="0" fontId="41" fillId="4" borderId="0" xfId="4" applyFont="1" applyFill="1"/>
    <xf numFmtId="0" fontId="42" fillId="0" borderId="0" xfId="4" applyFont="1"/>
    <xf numFmtId="49" fontId="43" fillId="4" borderId="43" xfId="4" applyNumberFormat="1" applyFont="1" applyFill="1" applyBorder="1" applyAlignment="1">
      <alignment horizontal="left" vertical="center" wrapText="1"/>
    </xf>
    <xf numFmtId="3" fontId="43" fillId="4" borderId="43" xfId="4" applyNumberFormat="1" applyFont="1" applyFill="1" applyBorder="1" applyAlignment="1">
      <alignment horizontal="center" vertical="center"/>
    </xf>
    <xf numFmtId="167" fontId="43" fillId="4" borderId="43" xfId="4" applyNumberFormat="1" applyFont="1" applyFill="1" applyBorder="1" applyAlignment="1">
      <alignment horizontal="center" vertical="center"/>
    </xf>
    <xf numFmtId="0" fontId="44" fillId="4" borderId="0" xfId="4" applyFont="1" applyFill="1"/>
    <xf numFmtId="0" fontId="44" fillId="0" borderId="0" xfId="4" applyFont="1"/>
    <xf numFmtId="166" fontId="43" fillId="4" borderId="43" xfId="4" applyNumberFormat="1" applyFont="1" applyFill="1" applyBorder="1" applyAlignment="1">
      <alignment horizontal="center" vertical="center"/>
    </xf>
    <xf numFmtId="0" fontId="43" fillId="4" borderId="43" xfId="4" applyFont="1" applyFill="1" applyBorder="1" applyAlignment="1">
      <alignment horizontal="center"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6" fillId="4" borderId="0" xfId="4" applyFill="1" applyAlignment="1">
      <alignment vertical="center"/>
    </xf>
    <xf numFmtId="0" fontId="6" fillId="0" borderId="0" xfId="4" applyAlignment="1">
      <alignment vertical="center"/>
    </xf>
    <xf numFmtId="0" fontId="14" fillId="0" borderId="0" xfId="0" applyFont="1" applyAlignment="1">
      <alignment horizontal="left" vertical="center" wrapText="1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2" fontId="22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1" fillId="0" borderId="52" xfId="0" applyNumberFormat="1" applyFont="1" applyBorder="1"/>
    <xf numFmtId="4" fontId="7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7" fillId="0" borderId="56" xfId="0" applyFont="1" applyBorder="1" applyAlignment="1">
      <alignment vertical="center" wrapText="1"/>
    </xf>
    <xf numFmtId="4" fontId="7" fillId="0" borderId="57" xfId="0" applyNumberFormat="1" applyFont="1" applyBorder="1" applyAlignment="1">
      <alignment horizontal="center" vertical="center" wrapText="1"/>
    </xf>
    <xf numFmtId="0" fontId="7" fillId="0" borderId="58" xfId="0" applyFont="1" applyBorder="1" applyAlignment="1">
      <alignment vertical="center" wrapText="1"/>
    </xf>
    <xf numFmtId="4" fontId="7" fillId="0" borderId="59" xfId="0" applyNumberFormat="1" applyFont="1" applyBorder="1" applyAlignment="1">
      <alignment horizontal="center" vertical="center" wrapText="1"/>
    </xf>
    <xf numFmtId="4" fontId="7" fillId="0" borderId="60" xfId="0" applyNumberFormat="1" applyFont="1" applyBorder="1" applyAlignment="1">
      <alignment horizontal="center" vertical="center" wrapText="1"/>
    </xf>
    <xf numFmtId="0" fontId="7" fillId="0" borderId="60" xfId="0" applyFont="1" applyBorder="1" applyAlignment="1">
      <alignment vertical="center" wrapText="1"/>
    </xf>
    <xf numFmtId="0" fontId="7" fillId="0" borderId="57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4" fontId="7" fillId="0" borderId="6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7" fillId="0" borderId="62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9" fillId="0" borderId="64" xfId="0" applyFont="1" applyBorder="1" applyAlignment="1">
      <alignment vertical="center" wrapText="1"/>
    </xf>
    <xf numFmtId="0" fontId="7" fillId="0" borderId="64" xfId="0" applyFont="1" applyBorder="1" applyAlignment="1">
      <alignment vertical="center" wrapText="1"/>
    </xf>
    <xf numFmtId="0" fontId="8" fillId="0" borderId="64" xfId="0" applyFont="1" applyBorder="1" applyAlignment="1">
      <alignment vertical="center" wrapText="1"/>
    </xf>
    <xf numFmtId="0" fontId="7" fillId="0" borderId="65" xfId="0" applyFont="1" applyBorder="1" applyAlignment="1">
      <alignment vertical="center" wrapText="1"/>
    </xf>
    <xf numFmtId="0" fontId="45" fillId="0" borderId="0" xfId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left" vertical="center"/>
    </xf>
    <xf numFmtId="4" fontId="8" fillId="0" borderId="10" xfId="0" applyNumberFormat="1" applyFont="1" applyBorder="1" applyAlignment="1">
      <alignment horizontal="center" vertical="center" wrapText="1"/>
    </xf>
    <xf numFmtId="165" fontId="31" fillId="0" borderId="0" xfId="1" applyNumberFormat="1" applyFont="1" applyBorder="1" applyAlignment="1">
      <alignment vertical="center" wrapText="1"/>
    </xf>
    <xf numFmtId="49" fontId="46" fillId="0" borderId="0" xfId="1" applyNumberFormat="1" applyFont="1" applyAlignment="1">
      <alignment vertical="center"/>
    </xf>
    <xf numFmtId="49" fontId="21" fillId="0" borderId="13" xfId="1" applyNumberFormat="1" applyFont="1" applyBorder="1" applyAlignment="1">
      <alignment horizontal="center" vertical="center"/>
    </xf>
    <xf numFmtId="2" fontId="21" fillId="0" borderId="0" xfId="1" applyNumberFormat="1" applyFont="1" applyBorder="1" applyAlignment="1">
      <alignment vertical="center"/>
    </xf>
    <xf numFmtId="49" fontId="22" fillId="0" borderId="30" xfId="1" applyNumberFormat="1" applyFont="1" applyBorder="1" applyAlignment="1">
      <alignment horizontal="center" vertical="center"/>
    </xf>
    <xf numFmtId="0" fontId="22" fillId="0" borderId="31" xfId="1" applyFont="1" applyBorder="1" applyAlignment="1">
      <alignment vertical="center" wrapText="1"/>
    </xf>
    <xf numFmtId="4" fontId="22" fillId="0" borderId="30" xfId="1" applyNumberFormat="1" applyFont="1" applyBorder="1" applyAlignment="1">
      <alignment horizontal="right" vertical="center"/>
    </xf>
    <xf numFmtId="4" fontId="22" fillId="0" borderId="35" xfId="1" applyNumberFormat="1" applyFont="1" applyBorder="1" applyAlignment="1">
      <alignment horizontal="right" vertical="center"/>
    </xf>
    <xf numFmtId="4" fontId="22" fillId="0" borderId="31" xfId="1" applyNumberFormat="1" applyFont="1" applyBorder="1" applyAlignment="1">
      <alignment horizontal="right" vertical="center"/>
    </xf>
    <xf numFmtId="0" fontId="6" fillId="4" borderId="0" xfId="4" applyFill="1" applyAlignment="1">
      <alignment vertical="center"/>
    </xf>
    <xf numFmtId="0" fontId="22" fillId="0" borderId="0" xfId="1" applyFont="1" applyBorder="1" applyAlignment="1">
      <alignment horizontal="left" vertical="center"/>
    </xf>
    <xf numFmtId="0" fontId="21" fillId="0" borderId="13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2" fillId="0" borderId="0" xfId="1" applyFont="1" applyBorder="1" applyAlignment="1">
      <alignment horizontal="left"/>
    </xf>
    <xf numFmtId="4" fontId="22" fillId="0" borderId="0" xfId="1" applyNumberFormat="1" applyFont="1" applyBorder="1" applyAlignment="1">
      <alignment horizont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2" fontId="22" fillId="0" borderId="0" xfId="1" applyNumberFormat="1" applyFont="1" applyBorder="1" applyAlignment="1">
      <alignment horizontal="center" vertical="center"/>
    </xf>
    <xf numFmtId="4" fontId="22" fillId="0" borderId="19" xfId="1" applyNumberFormat="1" applyFont="1" applyBorder="1" applyAlignment="1">
      <alignment horizontal="center"/>
    </xf>
    <xf numFmtId="4" fontId="22" fillId="0" borderId="0" xfId="1" applyNumberFormat="1" applyFont="1" applyFill="1" applyBorder="1" applyAlignment="1">
      <alignment horizontal="center"/>
    </xf>
    <xf numFmtId="0" fontId="22" fillId="2" borderId="0" xfId="1" applyFont="1" applyFill="1" applyBorder="1" applyAlignment="1">
      <alignment horizontal="left" vertical="center"/>
    </xf>
    <xf numFmtId="0" fontId="22" fillId="0" borderId="43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9" fontId="30" fillId="0" borderId="0" xfId="1" applyNumberFormat="1" applyFont="1" applyBorder="1" applyAlignment="1">
      <alignment horizontal="left" vertical="center"/>
    </xf>
    <xf numFmtId="2" fontId="22" fillId="0" borderId="0" xfId="1" applyNumberFormat="1" applyFont="1" applyBorder="1" applyAlignment="1">
      <alignment horizontal="left" vertical="center"/>
    </xf>
    <xf numFmtId="2" fontId="21" fillId="0" borderId="0" xfId="1" applyNumberFormat="1" applyFont="1" applyBorder="1" applyAlignment="1">
      <alignment horizontal="left" vertical="center"/>
    </xf>
    <xf numFmtId="2" fontId="22" fillId="2" borderId="0" xfId="1" applyNumberFormat="1" applyFont="1" applyFill="1" applyBorder="1" applyAlignment="1">
      <alignment vertical="center"/>
    </xf>
    <xf numFmtId="2" fontId="22" fillId="2" borderId="19" xfId="1" applyNumberFormat="1" applyFont="1" applyFill="1" applyBorder="1" applyAlignment="1">
      <alignment vertical="center"/>
    </xf>
    <xf numFmtId="2" fontId="21" fillId="2" borderId="0" xfId="1" applyNumberFormat="1" applyFont="1" applyFill="1" applyBorder="1" applyAlignment="1">
      <alignment horizontal="center" vertical="center"/>
    </xf>
    <xf numFmtId="2" fontId="21" fillId="2" borderId="0" xfId="1" applyNumberFormat="1" applyFont="1" applyFill="1" applyBorder="1" applyAlignment="1">
      <alignment vertical="center"/>
    </xf>
    <xf numFmtId="49" fontId="21" fillId="0" borderId="0" xfId="1" applyNumberFormat="1" applyFont="1" applyAlignment="1">
      <alignment vertical="center"/>
    </xf>
    <xf numFmtId="4" fontId="21" fillId="0" borderId="0" xfId="1" applyNumberFormat="1" applyFont="1" applyAlignment="1">
      <alignment vertical="center"/>
    </xf>
    <xf numFmtId="4" fontId="22" fillId="0" borderId="27" xfId="1" applyNumberFormat="1" applyFont="1" applyBorder="1" applyAlignment="1">
      <alignment vertical="center"/>
    </xf>
    <xf numFmtId="4" fontId="22" fillId="0" borderId="28" xfId="1" applyNumberFormat="1" applyFont="1" applyBorder="1" applyAlignment="1">
      <alignment vertical="center"/>
    </xf>
    <xf numFmtId="4" fontId="22" fillId="0" borderId="29" xfId="1" applyNumberFormat="1" applyFont="1" applyBorder="1" applyAlignment="1">
      <alignment vertical="center"/>
    </xf>
    <xf numFmtId="0" fontId="7" fillId="0" borderId="9" xfId="0" applyFont="1" applyBorder="1" applyAlignment="1">
      <alignment vertical="center" wrapText="1"/>
    </xf>
    <xf numFmtId="0" fontId="7" fillId="0" borderId="59" xfId="0" applyFont="1" applyBorder="1" applyAlignment="1">
      <alignment vertical="center" wrapText="1"/>
    </xf>
    <xf numFmtId="167" fontId="22" fillId="0" borderId="35" xfId="1" applyNumberFormat="1" applyFont="1" applyBorder="1" applyAlignment="1">
      <alignment horizontal="center" vertical="top"/>
    </xf>
    <xf numFmtId="167" fontId="21" fillId="0" borderId="35" xfId="1" applyNumberFormat="1" applyFont="1" applyBorder="1" applyAlignment="1">
      <alignment horizontal="center" vertical="top"/>
    </xf>
    <xf numFmtId="167" fontId="21" fillId="0" borderId="0" xfId="1" applyNumberFormat="1" applyFont="1" applyBorder="1" applyAlignment="1">
      <alignment horizontal="center" vertical="top"/>
    </xf>
    <xf numFmtId="4" fontId="21" fillId="0" borderId="35" xfId="1" applyNumberFormat="1" applyFont="1" applyBorder="1" applyAlignment="1">
      <alignment horizontal="center" vertical="top"/>
    </xf>
    <xf numFmtId="0" fontId="22" fillId="0" borderId="41" xfId="1" quotePrefix="1" applyFont="1" applyBorder="1" applyAlignment="1">
      <alignment horizontal="center" vertical="center" wrapText="1"/>
    </xf>
    <xf numFmtId="0" fontId="22" fillId="0" borderId="37" xfId="1" quotePrefix="1" applyFont="1" applyBorder="1" applyAlignment="1">
      <alignment horizontal="center" vertical="center" wrapText="1"/>
    </xf>
    <xf numFmtId="166" fontId="22" fillId="0" borderId="35" xfId="1" applyNumberFormat="1" applyFont="1" applyBorder="1" applyAlignment="1">
      <alignment horizontal="center" vertical="top"/>
    </xf>
    <xf numFmtId="172" fontId="22" fillId="0" borderId="35" xfId="1" applyNumberFormat="1" applyFont="1" applyBorder="1" applyAlignment="1">
      <alignment horizontal="center" vertical="top"/>
    </xf>
    <xf numFmtId="49" fontId="21" fillId="0" borderId="30" xfId="1" applyNumberFormat="1" applyFont="1" applyBorder="1" applyAlignment="1">
      <alignment horizontal="left" vertical="top"/>
    </xf>
    <xf numFmtId="0" fontId="21" fillId="0" borderId="35" xfId="1" applyNumberFormat="1" applyFont="1" applyBorder="1" applyAlignment="1">
      <alignment horizontal="center" vertical="top"/>
    </xf>
    <xf numFmtId="4" fontId="49" fillId="0" borderId="35" xfId="1" applyNumberFormat="1" applyFont="1" applyBorder="1" applyAlignment="1">
      <alignment horizontal="center" vertical="top"/>
    </xf>
    <xf numFmtId="49" fontId="21" fillId="0" borderId="13" xfId="1" applyNumberFormat="1" applyFont="1" applyBorder="1" applyAlignment="1">
      <alignment horizontal="left" vertical="top"/>
    </xf>
    <xf numFmtId="0" fontId="21" fillId="0" borderId="0" xfId="1" applyNumberFormat="1" applyFont="1" applyBorder="1" applyAlignment="1">
      <alignment horizontal="center" vertical="top"/>
    </xf>
    <xf numFmtId="4" fontId="21" fillId="0" borderId="0" xfId="1" applyNumberFormat="1" applyFont="1" applyBorder="1" applyAlignment="1">
      <alignment horizontal="center" vertical="top"/>
    </xf>
    <xf numFmtId="4" fontId="49" fillId="0" borderId="0" xfId="1" applyNumberFormat="1" applyFont="1" applyBorder="1" applyAlignment="1">
      <alignment horizontal="center" vertical="top"/>
    </xf>
    <xf numFmtId="0" fontId="0" fillId="4" borderId="0" xfId="0" applyFill="1"/>
    <xf numFmtId="0" fontId="51" fillId="4" borderId="0" xfId="0" applyFont="1" applyFill="1"/>
    <xf numFmtId="0" fontId="22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45" fillId="4" borderId="43" xfId="0" applyFont="1" applyFill="1" applyBorder="1" applyAlignment="1">
      <alignment horizontal="center" vertical="center" wrapText="1"/>
    </xf>
    <xf numFmtId="0" fontId="46" fillId="4" borderId="43" xfId="0" applyFont="1" applyFill="1" applyBorder="1" applyAlignment="1">
      <alignment horizontal="center" vertical="center"/>
    </xf>
    <xf numFmtId="0" fontId="22" fillId="4" borderId="43" xfId="0" applyFont="1" applyFill="1" applyBorder="1" applyAlignment="1">
      <alignment horizontal="left" vertical="center" wrapText="1"/>
    </xf>
    <xf numFmtId="169" fontId="22" fillId="4" borderId="43" xfId="6" applyNumberFormat="1" applyFont="1" applyFill="1" applyBorder="1" applyAlignment="1">
      <alignment vertical="center" wrapText="1"/>
    </xf>
    <xf numFmtId="173" fontId="22" fillId="4" borderId="43" xfId="6" applyNumberFormat="1" applyFont="1" applyFill="1" applyBorder="1" applyAlignment="1">
      <alignment vertical="center" wrapText="1"/>
    </xf>
    <xf numFmtId="169" fontId="22" fillId="4" borderId="43" xfId="6" applyNumberFormat="1" applyFont="1" applyFill="1" applyBorder="1" applyAlignment="1">
      <alignment horizontal="center" vertical="center" wrapText="1"/>
    </xf>
    <xf numFmtId="171" fontId="0" fillId="4" borderId="0" xfId="0" applyNumberFormat="1" applyFill="1" applyAlignment="1">
      <alignment vertical="center"/>
    </xf>
    <xf numFmtId="2" fontId="0" fillId="4" borderId="0" xfId="0" applyNumberFormat="1" applyFill="1"/>
    <xf numFmtId="0" fontId="21" fillId="4" borderId="43" xfId="0" applyFont="1" applyFill="1" applyBorder="1" applyAlignment="1">
      <alignment horizontal="left" vertical="center" wrapText="1"/>
    </xf>
    <xf numFmtId="169" fontId="21" fillId="4" borderId="43" xfId="6" applyNumberFormat="1" applyFont="1" applyFill="1" applyBorder="1" applyAlignment="1">
      <alignment vertical="center" wrapText="1"/>
    </xf>
    <xf numFmtId="169" fontId="21" fillId="4" borderId="43" xfId="6" applyNumberFormat="1" applyFont="1" applyFill="1" applyBorder="1" applyAlignment="1">
      <alignment horizontal="center" vertical="center" wrapText="1"/>
    </xf>
    <xf numFmtId="169" fontId="0" fillId="4" borderId="0" xfId="0" applyNumberFormat="1" applyFill="1"/>
    <xf numFmtId="171" fontId="0" fillId="4" borderId="0" xfId="0" applyNumberFormat="1" applyFill="1"/>
    <xf numFmtId="169" fontId="0" fillId="4" borderId="0" xfId="0" applyNumberFormat="1" applyFill="1" applyAlignment="1">
      <alignment horizontal="left" vertical="center"/>
    </xf>
    <xf numFmtId="0" fontId="52" fillId="4" borderId="0" xfId="0" applyFont="1" applyFill="1"/>
    <xf numFmtId="171" fontId="52" fillId="4" borderId="0" xfId="0" applyNumberFormat="1" applyFont="1" applyFill="1" applyAlignment="1">
      <alignment horizontal="left"/>
    </xf>
    <xf numFmtId="173" fontId="52" fillId="4" borderId="0" xfId="0" applyNumberFormat="1" applyFont="1" applyFill="1"/>
    <xf numFmtId="0" fontId="22" fillId="4" borderId="0" xfId="0" applyFont="1" applyFill="1"/>
    <xf numFmtId="0" fontId="25" fillId="4" borderId="0" xfId="0" applyFont="1" applyFill="1"/>
    <xf numFmtId="0" fontId="49" fillId="4" borderId="0" xfId="0" applyFont="1" applyFill="1"/>
    <xf numFmtId="171" fontId="25" fillId="4" borderId="0" xfId="0" applyNumberFormat="1" applyFont="1" applyFill="1" applyAlignment="1">
      <alignment horizontal="left"/>
    </xf>
    <xf numFmtId="0" fontId="54" fillId="4" borderId="0" xfId="0" applyFont="1" applyFill="1"/>
    <xf numFmtId="173" fontId="54" fillId="4" borderId="0" xfId="0" applyNumberFormat="1" applyFont="1" applyFill="1"/>
    <xf numFmtId="0" fontId="21" fillId="4" borderId="0" xfId="0" applyFont="1" applyFill="1" applyAlignment="1">
      <alignment horizontal="left" wrapText="1"/>
    </xf>
    <xf numFmtId="0" fontId="53" fillId="4" borderId="0" xfId="0" applyFont="1" applyFill="1"/>
    <xf numFmtId="170" fontId="48" fillId="4" borderId="0" xfId="0" applyNumberFormat="1" applyFont="1" applyFill="1"/>
    <xf numFmtId="0" fontId="0" fillId="4" borderId="0" xfId="0" applyFont="1" applyFill="1"/>
    <xf numFmtId="0" fontId="43" fillId="4" borderId="43" xfId="4" applyNumberFormat="1" applyFont="1" applyFill="1" applyBorder="1" applyAlignment="1">
      <alignment horizontal="center" vertical="center"/>
    </xf>
    <xf numFmtId="0" fontId="7" fillId="4" borderId="43" xfId="4" applyNumberFormat="1" applyFont="1" applyFill="1" applyBorder="1" applyAlignment="1">
      <alignment horizontal="center" vertical="center"/>
    </xf>
    <xf numFmtId="0" fontId="8" fillId="4" borderId="0" xfId="0" applyFont="1" applyFill="1" applyBorder="1" applyAlignment="1"/>
    <xf numFmtId="170" fontId="5" fillId="4" borderId="0" xfId="0" applyNumberFormat="1" applyFont="1" applyFill="1"/>
    <xf numFmtId="0" fontId="0" fillId="0" borderId="0" xfId="0" applyFont="1"/>
    <xf numFmtId="49" fontId="50" fillId="4" borderId="0" xfId="0" applyNumberFormat="1" applyFont="1" applyFill="1" applyBorder="1" applyAlignment="1">
      <alignment vertical="center"/>
    </xf>
    <xf numFmtId="49" fontId="50" fillId="4" borderId="0" xfId="0" applyNumberFormat="1" applyFont="1" applyFill="1" applyBorder="1"/>
    <xf numFmtId="0" fontId="50" fillId="4" borderId="0" xfId="0" applyFont="1" applyFill="1"/>
    <xf numFmtId="0" fontId="55" fillId="4" borderId="0" xfId="0" applyFont="1" applyFill="1"/>
    <xf numFmtId="0" fontId="0" fillId="4" borderId="0" xfId="0" applyFont="1" applyFill="1" applyAlignment="1"/>
    <xf numFmtId="170" fontId="0" fillId="4" borderId="0" xfId="0" applyNumberFormat="1" applyFont="1" applyFill="1"/>
    <xf numFmtId="169" fontId="50" fillId="4" borderId="0" xfId="5" applyNumberFormat="1" applyFont="1" applyFill="1" applyBorder="1"/>
    <xf numFmtId="169" fontId="31" fillId="4" borderId="0" xfId="5" applyNumberFormat="1" applyFont="1" applyFill="1" applyBorder="1"/>
    <xf numFmtId="0" fontId="50" fillId="4" borderId="0" xfId="0" applyFont="1" applyFill="1" applyAlignment="1"/>
    <xf numFmtId="0" fontId="55" fillId="4" borderId="0" xfId="0" applyFont="1" applyFill="1" applyAlignment="1"/>
    <xf numFmtId="0" fontId="50" fillId="4" borderId="0" xfId="0" applyFont="1" applyFill="1" applyAlignment="1">
      <alignment vertical="center"/>
    </xf>
    <xf numFmtId="0" fontId="5" fillId="4" borderId="0" xfId="4" applyFont="1" applyFill="1" applyAlignment="1">
      <alignment vertical="center"/>
    </xf>
    <xf numFmtId="2" fontId="0" fillId="4" borderId="0" xfId="0" applyNumberFormat="1" applyFont="1" applyFill="1"/>
    <xf numFmtId="2" fontId="48" fillId="4" borderId="0" xfId="0" applyNumberFormat="1" applyFont="1" applyFill="1"/>
    <xf numFmtId="0" fontId="31" fillId="4" borderId="0" xfId="0" applyFont="1" applyFill="1" applyAlignment="1">
      <alignment vertical="center"/>
    </xf>
    <xf numFmtId="0" fontId="31" fillId="4" borderId="0" xfId="0" applyFont="1" applyFill="1" applyBorder="1" applyAlignment="1"/>
    <xf numFmtId="2" fontId="6" fillId="4" borderId="0" xfId="4" applyNumberFormat="1" applyFill="1" applyAlignment="1">
      <alignment vertical="center"/>
    </xf>
    <xf numFmtId="0" fontId="8" fillId="4" borderId="43" xfId="4" applyFont="1" applyFill="1" applyBorder="1" applyAlignment="1">
      <alignment horizontal="center" vertical="center"/>
    </xf>
    <xf numFmtId="0" fontId="8" fillId="4" borderId="43" xfId="4" applyNumberFormat="1" applyFont="1" applyFill="1" applyBorder="1" applyAlignment="1">
      <alignment horizontal="center" vertical="center"/>
    </xf>
    <xf numFmtId="0" fontId="48" fillId="4" borderId="0" xfId="4" applyFont="1" applyFill="1"/>
    <xf numFmtId="0" fontId="48" fillId="0" borderId="0" xfId="4" applyFont="1"/>
    <xf numFmtId="166" fontId="8" fillId="4" borderId="43" xfId="4" applyNumberFormat="1" applyFont="1" applyFill="1" applyBorder="1" applyAlignment="1">
      <alignment horizontal="center" vertical="center"/>
    </xf>
    <xf numFmtId="167" fontId="8" fillId="4" borderId="43" xfId="4" applyNumberFormat="1" applyFont="1" applyFill="1" applyBorder="1" applyAlignment="1">
      <alignment horizontal="center" vertical="center"/>
    </xf>
    <xf numFmtId="0" fontId="35" fillId="4" borderId="43" xfId="4" applyFont="1" applyFill="1" applyBorder="1" applyAlignment="1">
      <alignment horizontal="left" vertical="center" wrapText="1"/>
    </xf>
    <xf numFmtId="3" fontId="35" fillId="4" borderId="43" xfId="4" applyNumberFormat="1" applyFont="1" applyFill="1" applyBorder="1" applyAlignment="1">
      <alignment horizontal="center" vertical="center"/>
    </xf>
    <xf numFmtId="0" fontId="56" fillId="4" borderId="43" xfId="4" applyNumberFormat="1" applyFont="1" applyFill="1" applyBorder="1" applyAlignment="1">
      <alignment horizontal="center" vertical="center"/>
    </xf>
    <xf numFmtId="3" fontId="56" fillId="4" borderId="43" xfId="4" applyNumberFormat="1" applyFont="1" applyFill="1" applyBorder="1" applyAlignment="1">
      <alignment horizontal="center" vertical="center"/>
    </xf>
    <xf numFmtId="0" fontId="57" fillId="4" borderId="0" xfId="4" applyFont="1" applyFill="1"/>
    <xf numFmtId="0" fontId="57" fillId="0" borderId="0" xfId="4" applyFont="1"/>
    <xf numFmtId="0" fontId="35" fillId="4" borderId="43" xfId="4" applyNumberFormat="1" applyFont="1" applyFill="1" applyBorder="1" applyAlignment="1">
      <alignment horizontal="center" vertical="center"/>
    </xf>
    <xf numFmtId="0" fontId="58" fillId="4" borderId="0" xfId="4" applyFont="1" applyFill="1"/>
    <xf numFmtId="0" fontId="58" fillId="0" borderId="0" xfId="4" applyFont="1"/>
    <xf numFmtId="166" fontId="56" fillId="4" borderId="43" xfId="4" applyNumberFormat="1" applyFont="1" applyFill="1" applyBorder="1" applyAlignment="1">
      <alignment horizontal="center" vertical="center"/>
    </xf>
    <xf numFmtId="3" fontId="48" fillId="4" borderId="0" xfId="4" applyNumberFormat="1" applyFont="1" applyFill="1"/>
    <xf numFmtId="0" fontId="8" fillId="4" borderId="0" xfId="4" applyFont="1" applyFill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8" fillId="4" borderId="66" xfId="4" applyFont="1" applyFill="1" applyBorder="1" applyAlignment="1">
      <alignment horizontal="left" vertical="center" wrapText="1"/>
    </xf>
    <xf numFmtId="3" fontId="8" fillId="4" borderId="67" xfId="4" applyNumberFormat="1" applyFont="1" applyFill="1" applyBorder="1" applyAlignment="1">
      <alignment horizontal="center" vertical="center"/>
    </xf>
    <xf numFmtId="3" fontId="18" fillId="4" borderId="68" xfId="4" applyNumberFormat="1" applyFont="1" applyFill="1" applyBorder="1" applyAlignment="1">
      <alignment horizontal="center" vertical="center"/>
    </xf>
    <xf numFmtId="0" fontId="7" fillId="4" borderId="69" xfId="4" applyFont="1" applyFill="1" applyBorder="1" applyAlignment="1">
      <alignment horizontal="left" vertical="center" wrapText="1"/>
    </xf>
    <xf numFmtId="3" fontId="7" fillId="4" borderId="70" xfId="4" applyNumberFormat="1" applyFont="1" applyFill="1" applyBorder="1" applyAlignment="1">
      <alignment horizontal="center" vertical="center"/>
    </xf>
    <xf numFmtId="0" fontId="8" fillId="4" borderId="71" xfId="4" applyFont="1" applyFill="1" applyBorder="1" applyAlignment="1">
      <alignment horizontal="left" vertical="center" wrapText="1"/>
    </xf>
    <xf numFmtId="3" fontId="8" fillId="4" borderId="72" xfId="4" applyNumberFormat="1" applyFont="1" applyFill="1" applyBorder="1" applyAlignment="1">
      <alignment horizontal="center" vertical="center"/>
    </xf>
    <xf numFmtId="3" fontId="8" fillId="4" borderId="73" xfId="4" applyNumberFormat="1" applyFont="1" applyFill="1" applyBorder="1" applyAlignment="1">
      <alignment horizontal="center"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2" fontId="22" fillId="0" borderId="0" xfId="1" applyNumberFormat="1" applyFont="1" applyBorder="1" applyAlignment="1">
      <alignment horizontal="center" vertical="center"/>
    </xf>
    <xf numFmtId="2" fontId="22" fillId="0" borderId="19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3" fontId="6" fillId="4" borderId="0" xfId="4" applyNumberFormat="1" applyFill="1"/>
    <xf numFmtId="3" fontId="42" fillId="0" borderId="0" xfId="4" applyNumberFormat="1" applyFont="1"/>
    <xf numFmtId="165" fontId="21" fillId="0" borderId="0" xfId="1" applyNumberFormat="1" applyFont="1" applyBorder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0" fontId="59" fillId="0" borderId="0" xfId="4" applyFont="1"/>
    <xf numFmtId="0" fontId="14" fillId="4" borderId="0" xfId="4" applyFont="1" applyFill="1" applyAlignment="1">
      <alignment horizontal="left" vertical="center"/>
    </xf>
    <xf numFmtId="49" fontId="22" fillId="0" borderId="38" xfId="1" applyNumberFormat="1" applyFont="1" applyBorder="1" applyAlignment="1">
      <alignment horizontal="center" vertical="top"/>
    </xf>
    <xf numFmtId="0" fontId="22" fillId="0" borderId="39" xfId="1" applyFont="1" applyBorder="1" applyAlignment="1">
      <alignment vertical="top" wrapText="1"/>
    </xf>
    <xf numFmtId="4" fontId="22" fillId="0" borderId="38" xfId="1" applyNumberFormat="1" applyFont="1" applyBorder="1" applyAlignment="1">
      <alignment horizontal="right" vertical="top"/>
    </xf>
    <xf numFmtId="4" fontId="22" fillId="0" borderId="40" xfId="1" applyNumberFormat="1" applyFont="1" applyBorder="1" applyAlignment="1">
      <alignment horizontal="right" vertical="top"/>
    </xf>
    <xf numFmtId="4" fontId="22" fillId="0" borderId="25" xfId="1" applyNumberFormat="1" applyFont="1" applyBorder="1" applyAlignment="1">
      <alignment horizontal="right" vertical="top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19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9" fontId="22" fillId="0" borderId="38" xfId="1" applyNumberFormat="1" applyFont="1" applyBorder="1" applyAlignment="1">
      <alignment horizontal="center" vertical="center"/>
    </xf>
    <xf numFmtId="0" fontId="22" fillId="0" borderId="39" xfId="1" applyFont="1" applyBorder="1" applyAlignment="1">
      <alignment vertical="center" wrapText="1"/>
    </xf>
    <xf numFmtId="4" fontId="22" fillId="0" borderId="38" xfId="1" applyNumberFormat="1" applyFont="1" applyBorder="1" applyAlignment="1">
      <alignment horizontal="right" vertical="center"/>
    </xf>
    <xf numFmtId="4" fontId="22" fillId="0" borderId="40" xfId="1" applyNumberFormat="1" applyFont="1" applyBorder="1" applyAlignment="1">
      <alignment horizontal="right" vertical="center"/>
    </xf>
    <xf numFmtId="4" fontId="54" fillId="0" borderId="1" xfId="0" applyNumberFormat="1" applyFont="1" applyBorder="1" applyAlignment="1">
      <alignment horizontal="center" vertical="center" wrapText="1"/>
    </xf>
    <xf numFmtId="0" fontId="6" fillId="4" borderId="0" xfId="4" applyFill="1" applyAlignment="1">
      <alignment vertical="center"/>
    </xf>
    <xf numFmtId="4" fontId="25" fillId="0" borderId="0" xfId="0" applyNumberFormat="1" applyFont="1" applyBorder="1" applyAlignment="1">
      <alignment horizontal="center"/>
    </xf>
    <xf numFmtId="4" fontId="25" fillId="0" borderId="0" xfId="1" applyNumberFormat="1" applyFont="1" applyBorder="1" applyAlignment="1"/>
    <xf numFmtId="3" fontId="62" fillId="4" borderId="43" xfId="4" applyNumberFormat="1" applyFont="1" applyFill="1" applyBorder="1" applyAlignment="1">
      <alignment horizontal="center" vertical="center"/>
    </xf>
    <xf numFmtId="3" fontId="61" fillId="4" borderId="72" xfId="4" applyNumberFormat="1" applyFont="1" applyFill="1" applyBorder="1" applyAlignment="1">
      <alignment horizontal="center" vertical="center"/>
    </xf>
    <xf numFmtId="3" fontId="6" fillId="0" borderId="0" xfId="4" applyNumberFormat="1"/>
    <xf numFmtId="0" fontId="7" fillId="4" borderId="0" xfId="4" applyFont="1" applyFill="1" applyBorder="1" applyAlignment="1">
      <alignment vertical="center"/>
    </xf>
    <xf numFmtId="4" fontId="25" fillId="0" borderId="0" xfId="1" applyNumberFormat="1" applyFont="1" applyBorder="1" applyAlignment="1">
      <alignment horizontal="center"/>
    </xf>
    <xf numFmtId="10" fontId="22" fillId="4" borderId="43" xfId="0" applyNumberFormat="1" applyFont="1" applyFill="1" applyBorder="1" applyAlignment="1">
      <alignment horizontal="center" vertical="center" wrapText="1"/>
    </xf>
    <xf numFmtId="4" fontId="24" fillId="5" borderId="30" xfId="1" applyNumberFormat="1" applyFont="1" applyFill="1" applyBorder="1" applyAlignment="1">
      <alignment horizontal="right" vertical="top"/>
    </xf>
    <xf numFmtId="0" fontId="25" fillId="0" borderId="0" xfId="0" applyFont="1" applyBorder="1" applyAlignment="1">
      <alignment horizontal="left"/>
    </xf>
    <xf numFmtId="0" fontId="25" fillId="0" borderId="0" xfId="1" applyFont="1" applyBorder="1" applyAlignment="1">
      <alignment vertical="center"/>
    </xf>
    <xf numFmtId="0" fontId="65" fillId="0" borderId="64" xfId="0" applyFont="1" applyBorder="1" applyAlignment="1">
      <alignment vertical="center" wrapText="1"/>
    </xf>
    <xf numFmtId="0" fontId="54" fillId="0" borderId="64" xfId="0" applyFont="1" applyBorder="1" applyAlignment="1">
      <alignment vertical="center" wrapText="1"/>
    </xf>
    <xf numFmtId="0" fontId="66" fillId="0" borderId="0" xfId="0" applyFont="1"/>
    <xf numFmtId="0" fontId="25" fillId="0" borderId="13" xfId="0" applyFont="1" applyBorder="1" applyAlignment="1">
      <alignment horizontal="center"/>
    </xf>
    <xf numFmtId="4" fontId="25" fillId="0" borderId="19" xfId="0" applyNumberFormat="1" applyFont="1" applyBorder="1" applyAlignment="1">
      <alignment horizontal="center"/>
    </xf>
    <xf numFmtId="0" fontId="25" fillId="0" borderId="0" xfId="0" applyFont="1" applyAlignment="1">
      <alignment vertical="center"/>
    </xf>
    <xf numFmtId="4" fontId="49" fillId="0" borderId="0" xfId="0" applyNumberFormat="1" applyFont="1" applyBorder="1" applyAlignment="1"/>
    <xf numFmtId="0" fontId="66" fillId="0" borderId="0" xfId="0" applyFont="1" applyAlignment="1">
      <alignment horizontal="center"/>
    </xf>
    <xf numFmtId="0" fontId="66" fillId="0" borderId="0" xfId="0" applyNumberFormat="1" applyFont="1"/>
    <xf numFmtId="4" fontId="66" fillId="0" borderId="0" xfId="0" applyNumberFormat="1" applyFont="1"/>
    <xf numFmtId="0" fontId="25" fillId="0" borderId="0" xfId="0" applyFont="1"/>
    <xf numFmtId="0" fontId="25" fillId="0" borderId="13" xfId="1" applyFont="1" applyBorder="1" applyAlignment="1">
      <alignment horizontal="center"/>
    </xf>
    <xf numFmtId="0" fontId="25" fillId="0" borderId="0" xfId="1" applyFont="1" applyBorder="1" applyAlignment="1">
      <alignment horizontal="left"/>
    </xf>
    <xf numFmtId="0" fontId="25" fillId="0" borderId="0" xfId="1" applyFont="1" applyAlignment="1">
      <alignment vertical="center"/>
    </xf>
    <xf numFmtId="0" fontId="65" fillId="0" borderId="6" xfId="0" applyFont="1" applyBorder="1" applyAlignment="1">
      <alignment vertical="center" wrapText="1"/>
    </xf>
    <xf numFmtId="0" fontId="65" fillId="0" borderId="1" xfId="0" applyFont="1" applyBorder="1" applyAlignment="1">
      <alignment vertical="center" wrapText="1"/>
    </xf>
    <xf numFmtId="4" fontId="65" fillId="0" borderId="1" xfId="0" applyNumberFormat="1" applyFont="1" applyBorder="1" applyAlignment="1">
      <alignment horizontal="center" vertical="center" wrapText="1"/>
    </xf>
    <xf numFmtId="4" fontId="65" fillId="0" borderId="7" xfId="0" applyNumberFormat="1" applyFont="1" applyBorder="1" applyAlignment="1">
      <alignment horizontal="center" vertical="center" wrapText="1"/>
    </xf>
    <xf numFmtId="0" fontId="65" fillId="0" borderId="0" xfId="0" applyFont="1" applyAlignment="1">
      <alignment vertical="center" wrapText="1"/>
    </xf>
    <xf numFmtId="0" fontId="54" fillId="0" borderId="6" xfId="0" applyFont="1" applyBorder="1" applyAlignment="1">
      <alignment vertical="center" wrapText="1"/>
    </xf>
    <xf numFmtId="0" fontId="54" fillId="0" borderId="1" xfId="0" applyFont="1" applyBorder="1" applyAlignment="1">
      <alignment vertical="center" wrapText="1"/>
    </xf>
    <xf numFmtId="4" fontId="54" fillId="0" borderId="7" xfId="0" applyNumberFormat="1" applyFont="1" applyBorder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166" fontId="54" fillId="0" borderId="0" xfId="0" applyNumberFormat="1" applyFont="1" applyAlignment="1">
      <alignment horizontal="center" vertical="center" wrapText="1"/>
    </xf>
    <xf numFmtId="4" fontId="54" fillId="0" borderId="0" xfId="0" applyNumberFormat="1" applyFont="1" applyAlignment="1">
      <alignment horizontal="center" vertical="center" wrapText="1"/>
    </xf>
    <xf numFmtId="0" fontId="67" fillId="0" borderId="0" xfId="4" applyFont="1"/>
    <xf numFmtId="0" fontId="6" fillId="4" borderId="0" xfId="4" applyFill="1" applyAlignment="1">
      <alignment vertical="center"/>
    </xf>
    <xf numFmtId="4" fontId="25" fillId="0" borderId="0" xfId="0" applyNumberFormat="1" applyFont="1" applyBorder="1" applyAlignment="1">
      <alignment horizontal="center"/>
    </xf>
    <xf numFmtId="49" fontId="69" fillId="0" borderId="30" xfId="1" applyNumberFormat="1" applyFont="1" applyBorder="1" applyAlignment="1">
      <alignment horizontal="left" vertical="top"/>
    </xf>
    <xf numFmtId="0" fontId="69" fillId="0" borderId="35" xfId="1" applyNumberFormat="1" applyFont="1" applyBorder="1" applyAlignment="1">
      <alignment horizontal="center" vertical="top"/>
    </xf>
    <xf numFmtId="4" fontId="69" fillId="0" borderId="35" xfId="1" applyNumberFormat="1" applyFont="1" applyBorder="1" applyAlignment="1">
      <alignment horizontal="center" vertical="top"/>
    </xf>
    <xf numFmtId="167" fontId="69" fillId="0" borderId="35" xfId="1" applyNumberFormat="1" applyFont="1" applyBorder="1" applyAlignment="1">
      <alignment horizontal="center" vertical="top"/>
    </xf>
    <xf numFmtId="0" fontId="69" fillId="0" borderId="0" xfId="1" applyFont="1" applyAlignment="1">
      <alignment vertical="top"/>
    </xf>
    <xf numFmtId="0" fontId="68" fillId="4" borderId="0" xfId="4" applyFont="1" applyFill="1" applyAlignment="1">
      <alignment vertical="center"/>
    </xf>
    <xf numFmtId="0" fontId="48" fillId="4" borderId="0" xfId="0" applyFont="1" applyFill="1" applyAlignment="1"/>
    <xf numFmtId="174" fontId="50" fillId="4" borderId="0" xfId="5" applyNumberFormat="1" applyFont="1" applyFill="1" applyBorder="1"/>
    <xf numFmtId="175" fontId="50" fillId="4" borderId="0" xfId="5" applyNumberFormat="1" applyFont="1" applyFill="1" applyBorder="1"/>
    <xf numFmtId="0" fontId="54" fillId="4" borderId="0" xfId="0" applyFont="1" applyFill="1" applyAlignment="1">
      <alignment vertical="center"/>
    </xf>
    <xf numFmtId="0" fontId="54" fillId="4" borderId="0" xfId="0" applyFont="1" applyFill="1" applyAlignment="1"/>
    <xf numFmtId="0" fontId="70" fillId="4" borderId="0" xfId="0" applyFont="1" applyFill="1"/>
    <xf numFmtId="170" fontId="68" fillId="4" borderId="0" xfId="0" applyNumberFormat="1" applyFont="1" applyFill="1"/>
    <xf numFmtId="0" fontId="70" fillId="0" borderId="0" xfId="0" applyFont="1"/>
    <xf numFmtId="0" fontId="71" fillId="4" borderId="0" xfId="0" applyFont="1" applyFill="1"/>
    <xf numFmtId="3" fontId="24" fillId="0" borderId="0" xfId="1" applyNumberFormat="1" applyFont="1" applyFill="1" applyAlignment="1">
      <alignment horizontal="left" vertical="top"/>
    </xf>
    <xf numFmtId="0" fontId="72" fillId="4" borderId="0" xfId="4" applyFont="1" applyFill="1"/>
    <xf numFmtId="3" fontId="72" fillId="4" borderId="0" xfId="4" applyNumberFormat="1" applyFont="1" applyFill="1"/>
    <xf numFmtId="0" fontId="73" fillId="4" borderId="0" xfId="4" applyFont="1" applyFill="1"/>
    <xf numFmtId="3" fontId="73" fillId="4" borderId="0" xfId="4" applyNumberFormat="1" applyFont="1" applyFill="1"/>
    <xf numFmtId="0" fontId="74" fillId="4" borderId="0" xfId="4" applyFont="1" applyFill="1"/>
    <xf numFmtId="0" fontId="68" fillId="4" borderId="0" xfId="4" applyFont="1" applyFill="1"/>
    <xf numFmtId="3" fontId="75" fillId="4" borderId="0" xfId="4" applyNumberFormat="1" applyFont="1" applyFill="1"/>
    <xf numFmtId="176" fontId="72" fillId="4" borderId="0" xfId="4" applyNumberFormat="1" applyFont="1" applyFill="1"/>
    <xf numFmtId="0" fontId="76" fillId="0" borderId="0" xfId="4" applyFont="1"/>
    <xf numFmtId="0" fontId="68" fillId="0" borderId="0" xfId="4" applyFont="1"/>
    <xf numFmtId="3" fontId="61" fillId="4" borderId="67" xfId="4" applyNumberFormat="1" applyFont="1" applyFill="1" applyBorder="1" applyAlignment="1">
      <alignment horizontal="center" vertical="center"/>
    </xf>
    <xf numFmtId="3" fontId="61" fillId="4" borderId="42" xfId="4" applyNumberFormat="1" applyFont="1" applyFill="1" applyBorder="1" applyAlignment="1">
      <alignment horizontal="center" vertical="center"/>
    </xf>
    <xf numFmtId="3" fontId="8" fillId="4" borderId="42" xfId="4" applyNumberFormat="1" applyFont="1" applyFill="1" applyBorder="1" applyAlignment="1">
      <alignment horizontal="center" vertical="center"/>
    </xf>
    <xf numFmtId="3" fontId="18" fillId="4" borderId="74" xfId="4" applyNumberFormat="1" applyFont="1" applyFill="1" applyBorder="1" applyAlignment="1">
      <alignment horizontal="center" vertical="center"/>
    </xf>
    <xf numFmtId="172" fontId="6" fillId="4" borderId="0" xfId="4" applyNumberFormat="1" applyFill="1"/>
    <xf numFmtId="0" fontId="35" fillId="4" borderId="0" xfId="4" applyFont="1" applyFill="1" applyBorder="1" applyAlignment="1">
      <alignment horizontal="left" vertical="center" wrapText="1"/>
    </xf>
    <xf numFmtId="3" fontId="35" fillId="4" borderId="0" xfId="4" applyNumberFormat="1" applyFont="1" applyFill="1" applyBorder="1" applyAlignment="1">
      <alignment horizontal="center" vertical="center"/>
    </xf>
    <xf numFmtId="0" fontId="35" fillId="4" borderId="0" xfId="4" applyNumberFormat="1" applyFont="1" applyFill="1" applyBorder="1" applyAlignment="1">
      <alignment horizontal="center"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0" fontId="6" fillId="4" borderId="0" xfId="4" applyFill="1" applyAlignment="1">
      <alignment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6" fillId="4" borderId="0" xfId="4" applyFill="1" applyAlignment="1">
      <alignment vertical="center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4" fontId="35" fillId="4" borderId="0" xfId="4" applyNumberFormat="1" applyFont="1" applyFill="1" applyBorder="1" applyAlignment="1">
      <alignment horizontal="center" vertical="center"/>
    </xf>
    <xf numFmtId="4" fontId="42" fillId="4" borderId="0" xfId="4" applyNumberFormat="1" applyFont="1" applyFill="1" applyAlignment="1">
      <alignment horizontal="left" vertical="center" wrapText="1"/>
    </xf>
    <xf numFmtId="4" fontId="59" fillId="4" borderId="0" xfId="4" applyNumberFormat="1" applyFont="1" applyFill="1" applyAlignment="1">
      <alignment horizontal="left" vertical="center" wrapText="1"/>
    </xf>
    <xf numFmtId="4" fontId="7" fillId="4" borderId="43" xfId="4" applyNumberFormat="1" applyFont="1" applyFill="1" applyBorder="1" applyAlignment="1">
      <alignment horizontal="center" vertical="center" wrapText="1"/>
    </xf>
    <xf numFmtId="4" fontId="8" fillId="4" borderId="43" xfId="4" applyNumberFormat="1" applyFont="1" applyFill="1" applyBorder="1" applyAlignment="1">
      <alignment horizontal="center" vertical="center"/>
    </xf>
    <xf numFmtId="4" fontId="43" fillId="4" borderId="43" xfId="4" applyNumberFormat="1" applyFont="1" applyFill="1" applyBorder="1" applyAlignment="1">
      <alignment horizontal="center" vertical="center"/>
    </xf>
    <xf numFmtId="4" fontId="35" fillId="4" borderId="43" xfId="4" applyNumberFormat="1" applyFont="1" applyFill="1" applyBorder="1" applyAlignment="1">
      <alignment horizontal="center" vertical="center"/>
    </xf>
    <xf numFmtId="4" fontId="7" fillId="4" borderId="43" xfId="4" applyNumberFormat="1" applyFont="1" applyFill="1" applyBorder="1" applyAlignment="1">
      <alignment horizontal="center" vertical="center"/>
    </xf>
    <xf numFmtId="4" fontId="6" fillId="4" borderId="0" xfId="4" applyNumberFormat="1" applyFill="1" applyAlignment="1">
      <alignment vertical="center"/>
    </xf>
    <xf numFmtId="4" fontId="0" fillId="4" borderId="0" xfId="0" applyNumberFormat="1" applyFill="1"/>
    <xf numFmtId="4" fontId="55" fillId="4" borderId="0" xfId="0" applyNumberFormat="1" applyFont="1" applyFill="1" applyAlignment="1"/>
    <xf numFmtId="4" fontId="55" fillId="4" borderId="0" xfId="0" applyNumberFormat="1" applyFont="1" applyFill="1"/>
    <xf numFmtId="4" fontId="0" fillId="4" borderId="0" xfId="0" applyNumberFormat="1" applyFont="1" applyFill="1"/>
    <xf numFmtId="4" fontId="36" fillId="4" borderId="0" xfId="4" applyNumberFormat="1" applyFont="1" applyFill="1" applyAlignment="1"/>
    <xf numFmtId="4" fontId="70" fillId="4" borderId="0" xfId="0" applyNumberFormat="1" applyFont="1" applyFill="1"/>
    <xf numFmtId="4" fontId="6" fillId="4" borderId="0" xfId="4" applyNumberFormat="1" applyFill="1"/>
    <xf numFmtId="4" fontId="7" fillId="4" borderId="0" xfId="4" applyNumberFormat="1" applyFont="1" applyFill="1" applyAlignment="1">
      <alignment horizontal="right"/>
    </xf>
    <xf numFmtId="4" fontId="18" fillId="4" borderId="68" xfId="4" applyNumberFormat="1" applyFont="1" applyFill="1" applyBorder="1" applyAlignment="1">
      <alignment horizontal="center" vertical="center"/>
    </xf>
    <xf numFmtId="4" fontId="18" fillId="4" borderId="74" xfId="4" applyNumberFormat="1" applyFont="1" applyFill="1" applyBorder="1" applyAlignment="1">
      <alignment horizontal="center" vertical="center"/>
    </xf>
    <xf numFmtId="4" fontId="7" fillId="4" borderId="70" xfId="4" applyNumberFormat="1" applyFont="1" applyFill="1" applyBorder="1" applyAlignment="1">
      <alignment horizontal="center" vertical="center"/>
    </xf>
    <xf numFmtId="4" fontId="8" fillId="4" borderId="73" xfId="4" applyNumberFormat="1" applyFont="1" applyFill="1" applyBorder="1" applyAlignment="1">
      <alignment horizontal="center" vertical="center"/>
    </xf>
    <xf numFmtId="4" fontId="8" fillId="4" borderId="0" xfId="4" applyNumberFormat="1" applyFont="1" applyFill="1" applyBorder="1" applyAlignment="1">
      <alignment horizontal="center" vertical="center"/>
    </xf>
    <xf numFmtId="4" fontId="6" fillId="0" borderId="0" xfId="4" applyNumberFormat="1"/>
    <xf numFmtId="4" fontId="37" fillId="4" borderId="0" xfId="5" applyNumberFormat="1" applyFont="1" applyFill="1" applyAlignment="1">
      <alignment horizontal="right"/>
    </xf>
    <xf numFmtId="3" fontId="61" fillId="4" borderId="0" xfId="4" applyNumberFormat="1" applyFont="1" applyFill="1" applyBorder="1" applyAlignment="1">
      <alignment horizontal="center" vertical="center"/>
    </xf>
    <xf numFmtId="0" fontId="14" fillId="6" borderId="1" xfId="0" applyFont="1" applyFill="1" applyBorder="1"/>
    <xf numFmtId="17" fontId="14" fillId="0" borderId="1" xfId="0" applyNumberFormat="1" applyFont="1" applyBorder="1"/>
    <xf numFmtId="0" fontId="7" fillId="0" borderId="43" xfId="0" applyFont="1" applyBorder="1" applyAlignment="1">
      <alignment horizontal="center" vertical="center" wrapText="1"/>
    </xf>
    <xf numFmtId="2" fontId="14" fillId="0" borderId="1" xfId="0" applyNumberFormat="1" applyFont="1" applyBorder="1"/>
    <xf numFmtId="0" fontId="22" fillId="4" borderId="0" xfId="1" applyFont="1" applyFill="1" applyAlignment="1">
      <alignment wrapText="1"/>
    </xf>
    <xf numFmtId="0" fontId="22" fillId="4" borderId="0" xfId="1" applyFont="1" applyFill="1"/>
    <xf numFmtId="0" fontId="22" fillId="4" borderId="0" xfId="1" applyFont="1" applyFill="1" applyAlignment="1">
      <alignment horizontal="center"/>
    </xf>
    <xf numFmtId="0" fontId="8" fillId="4" borderId="43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43" xfId="0" applyNumberFormat="1" applyFont="1" applyBorder="1" applyAlignment="1">
      <alignment horizontal="center" vertical="center" wrapText="1"/>
    </xf>
    <xf numFmtId="0" fontId="27" fillId="4" borderId="43" xfId="0" applyFont="1" applyFill="1" applyBorder="1" applyAlignment="1">
      <alignment vertical="center" wrapText="1"/>
    </xf>
    <xf numFmtId="0" fontId="9" fillId="0" borderId="43" xfId="0" applyFont="1" applyBorder="1" applyAlignment="1">
      <alignment horizontal="center" vertical="center" wrapText="1"/>
    </xf>
    <xf numFmtId="3" fontId="27" fillId="0" borderId="43" xfId="0" applyNumberFormat="1" applyFont="1" applyBorder="1" applyAlignment="1">
      <alignment horizontal="center" vertical="center" wrapText="1"/>
    </xf>
    <xf numFmtId="4" fontId="27" fillId="0" borderId="43" xfId="0" applyNumberFormat="1" applyFont="1" applyBorder="1" applyAlignment="1">
      <alignment horizontal="center" vertical="center" wrapText="1"/>
    </xf>
    <xf numFmtId="0" fontId="27" fillId="0" borderId="43" xfId="0" applyFont="1" applyBorder="1" applyAlignment="1">
      <alignment horizontal="center" vertical="center" wrapText="1"/>
    </xf>
    <xf numFmtId="0" fontId="50" fillId="0" borderId="43" xfId="0" applyFont="1" applyBorder="1" applyAlignment="1">
      <alignment horizontal="center" vertical="center" wrapText="1"/>
    </xf>
    <xf numFmtId="4" fontId="50" fillId="0" borderId="4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vertical="center"/>
    </xf>
    <xf numFmtId="14" fontId="9" fillId="0" borderId="43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167" fontId="27" fillId="0" borderId="43" xfId="0" applyNumberFormat="1" applyFont="1" applyBorder="1" applyAlignment="1">
      <alignment horizontal="center" vertical="center" wrapText="1"/>
    </xf>
    <xf numFmtId="0" fontId="22" fillId="4" borderId="0" xfId="1" applyFont="1" applyFill="1" applyAlignment="1">
      <alignment horizontal="left" wrapText="1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7" fillId="4" borderId="0" xfId="4" applyFont="1" applyFill="1" applyBorder="1" applyAlignment="1">
      <alignment horizontal="left" vertical="center" wrapText="1"/>
    </xf>
    <xf numFmtId="0" fontId="6" fillId="4" borderId="0" xfId="4" applyFill="1" applyAlignment="1">
      <alignment vertical="center" wrapText="1"/>
    </xf>
    <xf numFmtId="0" fontId="6" fillId="4" borderId="0" xfId="4" applyFill="1" applyAlignment="1">
      <alignment vertical="center"/>
    </xf>
    <xf numFmtId="0" fontId="12" fillId="4" borderId="0" xfId="4" applyFont="1" applyFill="1" applyBorder="1" applyAlignment="1">
      <alignment horizontal="center" vertical="center" wrapText="1"/>
    </xf>
    <xf numFmtId="0" fontId="60" fillId="4" borderId="0" xfId="4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 wrapText="1"/>
    </xf>
    <xf numFmtId="0" fontId="0" fillId="4" borderId="0" xfId="0" applyFill="1" applyAlignment="1">
      <alignment wrapText="1"/>
    </xf>
    <xf numFmtId="0" fontId="8" fillId="4" borderId="0" xfId="0" applyFont="1" applyFill="1" applyBorder="1" applyAlignment="1">
      <alignment horizontal="left" wrapText="1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0" fontId="12" fillId="0" borderId="0" xfId="4" applyFont="1" applyAlignment="1">
      <alignment horizontal="center" vertical="center" wrapText="1"/>
    </xf>
    <xf numFmtId="0" fontId="6" fillId="0" borderId="0" xfId="4" applyAlignment="1">
      <alignment horizontal="center" vertical="center" wrapText="1"/>
    </xf>
    <xf numFmtId="0" fontId="22" fillId="0" borderId="0" xfId="4" applyFont="1" applyAlignment="1">
      <alignment horizontal="center" vertical="center" wrapText="1"/>
    </xf>
    <xf numFmtId="49" fontId="37" fillId="4" borderId="0" xfId="8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horizontal="left" vertical="center" wrapText="1"/>
    </xf>
    <xf numFmtId="0" fontId="42" fillId="0" borderId="0" xfId="4" applyFont="1" applyAlignment="1">
      <alignment horizontal="left" vertical="center" wrapText="1"/>
    </xf>
    <xf numFmtId="0" fontId="22" fillId="4" borderId="0" xfId="7" applyFont="1" applyFill="1" applyBorder="1" applyAlignment="1">
      <alignment horizontal="left" vertical="center" wrapText="1"/>
    </xf>
    <xf numFmtId="0" fontId="53" fillId="4" borderId="0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center" vertical="center" wrapText="1"/>
    </xf>
    <xf numFmtId="0" fontId="22" fillId="4" borderId="0" xfId="7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wrapText="1"/>
    </xf>
    <xf numFmtId="49" fontId="21" fillId="4" borderId="0" xfId="13" applyNumberFormat="1" applyFont="1" applyFill="1" applyBorder="1" applyAlignment="1">
      <alignment horizontal="center" vertical="center" wrapText="1"/>
    </xf>
    <xf numFmtId="0" fontId="50" fillId="4" borderId="0" xfId="14" applyFont="1" applyFill="1" applyBorder="1" applyAlignment="1">
      <alignment horizontal="left" vertical="center" wrapText="1"/>
    </xf>
    <xf numFmtId="166" fontId="22" fillId="0" borderId="0" xfId="1" applyNumberFormat="1" applyFont="1" applyBorder="1" applyAlignment="1">
      <alignment horizontal="center"/>
    </xf>
    <xf numFmtId="166" fontId="22" fillId="0" borderId="19" xfId="1" applyNumberFormat="1" applyFont="1" applyBorder="1" applyAlignment="1">
      <alignment horizontal="center"/>
    </xf>
    <xf numFmtId="0" fontId="22" fillId="0" borderId="13" xfId="1" applyFont="1" applyBorder="1" applyAlignment="1">
      <alignment horizontal="left" vertical="center"/>
    </xf>
    <xf numFmtId="0" fontId="22" fillId="0" borderId="0" xfId="1" applyFont="1" applyBorder="1" applyAlignment="1">
      <alignment horizontal="left" vertical="center"/>
    </xf>
    <xf numFmtId="0" fontId="22" fillId="0" borderId="19" xfId="1" applyFont="1" applyBorder="1" applyAlignment="1">
      <alignment horizontal="left" vertical="center"/>
    </xf>
    <xf numFmtId="49" fontId="22" fillId="0" borderId="20" xfId="1" applyNumberFormat="1" applyFont="1" applyBorder="1" applyAlignment="1">
      <alignment horizontal="center" vertical="center" wrapText="1"/>
    </xf>
    <xf numFmtId="49" fontId="22" fillId="0" borderId="25" xfId="1" applyNumberFormat="1" applyFont="1" applyBorder="1" applyAlignment="1">
      <alignment horizontal="center" vertical="center" wrapText="1"/>
    </xf>
    <xf numFmtId="49" fontId="22" fillId="0" borderId="30" xfId="1" applyNumberFormat="1" applyFont="1" applyBorder="1" applyAlignment="1">
      <alignment horizontal="center" vertical="center" wrapText="1"/>
    </xf>
    <xf numFmtId="0" fontId="22" fillId="0" borderId="21" xfId="1" applyFont="1" applyBorder="1" applyAlignment="1">
      <alignment horizontal="center" vertical="center"/>
    </xf>
    <xf numFmtId="0" fontId="22" fillId="0" borderId="26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22" xfId="1" applyFont="1" applyBorder="1" applyAlignment="1">
      <alignment horizontal="center" vertical="center"/>
    </xf>
    <xf numFmtId="0" fontId="22" fillId="0" borderId="23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0" xfId="1" applyFont="1" applyBorder="1" applyAlignment="1">
      <alignment horizontal="left"/>
    </xf>
    <xf numFmtId="4" fontId="22" fillId="0" borderId="0" xfId="1" applyNumberFormat="1" applyFont="1" applyBorder="1" applyAlignment="1">
      <alignment horizontal="center"/>
    </xf>
    <xf numFmtId="0" fontId="23" fillId="0" borderId="0" xfId="1" applyFont="1" applyBorder="1" applyAlignment="1">
      <alignment horizontal="center" vertical="center"/>
    </xf>
    <xf numFmtId="0" fontId="30" fillId="0" borderId="0" xfId="1" applyFont="1" applyBorder="1" applyAlignment="1">
      <alignment horizontal="left" vertical="center"/>
    </xf>
    <xf numFmtId="2" fontId="30" fillId="0" borderId="0" xfId="1" applyNumberFormat="1" applyFont="1" applyBorder="1" applyAlignment="1">
      <alignment horizontal="center" vertical="center"/>
    </xf>
    <xf numFmtId="2" fontId="30" fillId="0" borderId="19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left" vertical="center" wrapText="1"/>
    </xf>
    <xf numFmtId="4" fontId="22" fillId="0" borderId="0" xfId="1" applyNumberFormat="1" applyFont="1" applyBorder="1" applyAlignment="1">
      <alignment horizontal="center" vertical="center"/>
    </xf>
    <xf numFmtId="4" fontId="22" fillId="0" borderId="19" xfId="1" applyNumberFormat="1" applyFont="1" applyBorder="1" applyAlignment="1">
      <alignment horizontal="center" vertical="center"/>
    </xf>
    <xf numFmtId="165" fontId="21" fillId="0" borderId="12" xfId="1" applyNumberFormat="1" applyFont="1" applyBorder="1" applyAlignment="1">
      <alignment horizontal="center" vertical="center" wrapText="1"/>
    </xf>
    <xf numFmtId="165" fontId="21" fillId="0" borderId="12" xfId="1" applyNumberFormat="1" applyFont="1" applyBorder="1" applyAlignment="1">
      <alignment horizontal="center" vertical="center"/>
    </xf>
    <xf numFmtId="0" fontId="21" fillId="3" borderId="13" xfId="1" quotePrefix="1" applyFont="1" applyFill="1" applyBorder="1" applyAlignment="1">
      <alignment horizontal="center" vertical="center"/>
    </xf>
    <xf numFmtId="0" fontId="21" fillId="3" borderId="0" xfId="1" quotePrefix="1" applyFont="1" applyFill="1" applyBorder="1" applyAlignment="1">
      <alignment horizontal="center" vertical="center"/>
    </xf>
    <xf numFmtId="0" fontId="21" fillId="0" borderId="13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2" fillId="0" borderId="12" xfId="1" applyFont="1" applyBorder="1" applyAlignment="1">
      <alignment horizontal="left" vertical="center" wrapText="1"/>
    </xf>
    <xf numFmtId="0" fontId="22" fillId="0" borderId="14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16" xfId="1" applyFont="1" applyBorder="1" applyAlignment="1">
      <alignment horizontal="center" vertical="center"/>
    </xf>
    <xf numFmtId="0" fontId="22" fillId="0" borderId="12" xfId="1" applyFont="1" applyBorder="1" applyAlignment="1">
      <alignment horizontal="center" vertical="center"/>
    </xf>
    <xf numFmtId="0" fontId="22" fillId="0" borderId="14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22" fillId="0" borderId="12" xfId="1" applyFont="1" applyBorder="1" applyAlignment="1">
      <alignment horizontal="center" vertical="center" wrapText="1"/>
    </xf>
    <xf numFmtId="0" fontId="22" fillId="0" borderId="18" xfId="1" applyFont="1" applyBorder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2" fillId="4" borderId="0" xfId="1" applyFont="1" applyFill="1" applyAlignment="1">
      <alignment horizontal="left" wrapText="1"/>
    </xf>
    <xf numFmtId="0" fontId="77" fillId="4" borderId="0" xfId="1" applyFont="1" applyFill="1" applyAlignment="1">
      <alignment horizontal="center" wrapText="1"/>
    </xf>
    <xf numFmtId="165" fontId="21" fillId="0" borderId="0" xfId="1" applyNumberFormat="1" applyFont="1" applyBorder="1" applyAlignment="1">
      <alignment horizontal="right" vertical="center" wrapText="1"/>
    </xf>
    <xf numFmtId="0" fontId="21" fillId="4" borderId="0" xfId="1" quotePrefix="1" applyFont="1" applyFill="1" applyBorder="1" applyAlignment="1">
      <alignment horizontal="center" vertical="center" wrapText="1"/>
    </xf>
    <xf numFmtId="0" fontId="21" fillId="4" borderId="0" xfId="1" quotePrefix="1" applyFont="1" applyFill="1" applyBorder="1" applyAlignment="1">
      <alignment horizontal="center" vertical="center"/>
    </xf>
    <xf numFmtId="0" fontId="37" fillId="4" borderId="43" xfId="0" applyFont="1" applyFill="1" applyBorder="1" applyAlignment="1">
      <alignment horizontal="center" vertical="center" wrapText="1"/>
    </xf>
    <xf numFmtId="0" fontId="85" fillId="4" borderId="43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4" fontId="22" fillId="0" borderId="19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center"/>
    </xf>
    <xf numFmtId="2" fontId="22" fillId="0" borderId="19" xfId="1" applyNumberFormat="1" applyFont="1" applyBorder="1" applyAlignment="1">
      <alignment horizontal="center" vertical="center"/>
    </xf>
    <xf numFmtId="165" fontId="21" fillId="0" borderId="0" xfId="1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165" fontId="31" fillId="0" borderId="0" xfId="1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" fontId="21" fillId="0" borderId="0" xfId="0" applyNumberFormat="1" applyFont="1" applyBorder="1" applyAlignment="1">
      <alignment horizontal="center"/>
    </xf>
    <xf numFmtId="4" fontId="22" fillId="0" borderId="0" xfId="1" applyNumberFormat="1" applyFont="1" applyFill="1" applyBorder="1" applyAlignment="1">
      <alignment horizontal="center"/>
    </xf>
    <xf numFmtId="4" fontId="22" fillId="0" borderId="19" xfId="1" applyNumberFormat="1" applyFont="1" applyFill="1" applyBorder="1" applyAlignment="1">
      <alignment horizontal="center"/>
    </xf>
    <xf numFmtId="2" fontId="22" fillId="2" borderId="0" xfId="1" applyNumberFormat="1" applyFont="1" applyFill="1" applyBorder="1" applyAlignment="1">
      <alignment horizontal="center" vertical="center"/>
    </xf>
    <xf numFmtId="2" fontId="25" fillId="2" borderId="0" xfId="1" applyNumberFormat="1" applyFont="1" applyFill="1" applyBorder="1" applyAlignment="1">
      <alignment horizontal="center" vertical="center"/>
    </xf>
    <xf numFmtId="2" fontId="25" fillId="2" borderId="19" xfId="1" applyNumberFormat="1" applyFont="1" applyFill="1" applyBorder="1" applyAlignment="1">
      <alignment horizontal="center" vertical="center"/>
    </xf>
    <xf numFmtId="4" fontId="22" fillId="0" borderId="0" xfId="1" applyNumberFormat="1" applyFont="1" applyFill="1" applyBorder="1" applyAlignment="1">
      <alignment horizontal="center" vertical="center"/>
    </xf>
    <xf numFmtId="4" fontId="22" fillId="0" borderId="19" xfId="1" applyNumberFormat="1" applyFont="1" applyFill="1" applyBorder="1" applyAlignment="1">
      <alignment horizontal="center" vertical="center"/>
    </xf>
    <xf numFmtId="0" fontId="30" fillId="0" borderId="13" xfId="1" applyFont="1" applyFill="1" applyBorder="1" applyAlignment="1">
      <alignment horizontal="left" vertical="center"/>
    </xf>
    <xf numFmtId="0" fontId="30" fillId="0" borderId="0" xfId="1" applyFont="1" applyFill="1" applyBorder="1" applyAlignment="1">
      <alignment horizontal="left" vertical="center"/>
    </xf>
    <xf numFmtId="0" fontId="30" fillId="0" borderId="19" xfId="1" applyFont="1" applyFill="1" applyBorder="1" applyAlignment="1">
      <alignment horizontal="left" vertical="center"/>
    </xf>
    <xf numFmtId="49" fontId="22" fillId="0" borderId="20" xfId="1" applyNumberFormat="1" applyFont="1" applyFill="1" applyBorder="1" applyAlignment="1">
      <alignment horizontal="center" vertical="center" wrapText="1"/>
    </xf>
    <xf numFmtId="49" fontId="22" fillId="0" borderId="25" xfId="1" applyNumberFormat="1" applyFont="1" applyFill="1" applyBorder="1" applyAlignment="1">
      <alignment horizontal="center" vertical="center" wrapText="1"/>
    </xf>
    <xf numFmtId="49" fontId="22" fillId="0" borderId="30" xfId="1" applyNumberFormat="1" applyFont="1" applyFill="1" applyBorder="1" applyAlignment="1">
      <alignment horizontal="center" vertical="center" wrapText="1"/>
    </xf>
    <xf numFmtId="0" fontId="22" fillId="0" borderId="21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31" xfId="1" applyFont="1" applyFill="1" applyBorder="1" applyAlignment="1">
      <alignment horizontal="center" vertical="center"/>
    </xf>
    <xf numFmtId="0" fontId="22" fillId="0" borderId="22" xfId="1" applyFont="1" applyFill="1" applyBorder="1" applyAlignment="1">
      <alignment horizontal="center" vertical="center"/>
    </xf>
    <xf numFmtId="0" fontId="22" fillId="0" borderId="23" xfId="1" applyFont="1" applyFill="1" applyBorder="1" applyAlignment="1">
      <alignment horizontal="center" vertical="center"/>
    </xf>
    <xf numFmtId="0" fontId="22" fillId="0" borderId="24" xfId="1" applyFont="1" applyFill="1" applyBorder="1" applyAlignment="1">
      <alignment horizontal="center" vertical="center"/>
    </xf>
    <xf numFmtId="0" fontId="22" fillId="0" borderId="27" xfId="1" applyFont="1" applyFill="1" applyBorder="1" applyAlignment="1">
      <alignment horizontal="center" vertical="center"/>
    </xf>
    <xf numFmtId="0" fontId="22" fillId="0" borderId="28" xfId="1" applyFont="1" applyFill="1" applyBorder="1" applyAlignment="1">
      <alignment horizontal="center" vertical="center"/>
    </xf>
    <xf numFmtId="0" fontId="22" fillId="0" borderId="29" xfId="1" applyFont="1" applyFill="1" applyBorder="1" applyAlignment="1">
      <alignment horizontal="center" vertical="center"/>
    </xf>
    <xf numFmtId="164" fontId="22" fillId="0" borderId="0" xfId="2" applyFont="1" applyBorder="1" applyAlignment="1">
      <alignment horizontal="center" vertical="center"/>
    </xf>
    <xf numFmtId="49" fontId="22" fillId="0" borderId="43" xfId="1" applyNumberFormat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/>
    </xf>
    <xf numFmtId="0" fontId="30" fillId="0" borderId="13" xfId="1" applyFont="1" applyBorder="1" applyAlignment="1">
      <alignment horizontal="left" vertical="center"/>
    </xf>
    <xf numFmtId="0" fontId="30" fillId="0" borderId="19" xfId="1" applyFont="1" applyBorder="1" applyAlignment="1">
      <alignment horizontal="left" vertical="center"/>
    </xf>
    <xf numFmtId="2" fontId="22" fillId="2" borderId="19" xfId="1" applyNumberFormat="1" applyFont="1" applyFill="1" applyBorder="1" applyAlignment="1">
      <alignment horizontal="center" vertical="center"/>
    </xf>
    <xf numFmtId="2" fontId="22" fillId="0" borderId="0" xfId="1" applyNumberFormat="1" applyFont="1" applyFill="1" applyBorder="1" applyAlignment="1">
      <alignment horizontal="center" vertical="center"/>
    </xf>
    <xf numFmtId="2" fontId="22" fillId="0" borderId="19" xfId="1" applyNumberFormat="1" applyFont="1" applyFill="1" applyBorder="1" applyAlignment="1">
      <alignment horizontal="center" vertical="center"/>
    </xf>
    <xf numFmtId="2" fontId="25" fillId="0" borderId="0" xfId="1" applyNumberFormat="1" applyFont="1" applyFill="1" applyBorder="1" applyAlignment="1">
      <alignment horizontal="center" vertical="center"/>
    </xf>
    <xf numFmtId="2" fontId="25" fillId="0" borderId="19" xfId="1" applyNumberFormat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left" vertical="center" wrapText="1"/>
    </xf>
    <xf numFmtId="0" fontId="22" fillId="0" borderId="17" xfId="1" applyFont="1" applyFill="1" applyBorder="1" applyAlignment="1">
      <alignment horizontal="center" vertical="center" wrapText="1"/>
    </xf>
    <xf numFmtId="0" fontId="22" fillId="0" borderId="12" xfId="1" applyFont="1" applyFill="1" applyBorder="1" applyAlignment="1">
      <alignment horizontal="center" vertical="center"/>
    </xf>
    <xf numFmtId="0" fontId="22" fillId="0" borderId="18" xfId="1" applyFont="1" applyFill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4" fontId="49" fillId="0" borderId="0" xfId="0" applyNumberFormat="1" applyFont="1" applyBorder="1" applyAlignment="1">
      <alignment horizontal="center"/>
    </xf>
    <xf numFmtId="0" fontId="21" fillId="0" borderId="0" xfId="1" applyFont="1" applyBorder="1" applyAlignment="1">
      <alignment horizontal="left" vertical="center"/>
    </xf>
    <xf numFmtId="0" fontId="21" fillId="0" borderId="0" xfId="1" applyFont="1" applyBorder="1" applyAlignment="1">
      <alignment horizontal="left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/>
    </xf>
    <xf numFmtId="0" fontId="22" fillId="0" borderId="42" xfId="1" applyFont="1" applyBorder="1" applyAlignment="1">
      <alignment horizontal="center" vertical="center"/>
    </xf>
    <xf numFmtId="4" fontId="25" fillId="0" borderId="0" xfId="0" applyNumberFormat="1" applyFont="1" applyBorder="1" applyAlignment="1">
      <alignment horizontal="center"/>
    </xf>
    <xf numFmtId="0" fontId="21" fillId="0" borderId="13" xfId="1" applyFont="1" applyBorder="1" applyAlignment="1">
      <alignment horizontal="left" vertical="center"/>
    </xf>
    <xf numFmtId="0" fontId="21" fillId="0" borderId="19" xfId="1" applyFont="1" applyBorder="1" applyAlignment="1">
      <alignment horizontal="left" vertical="center"/>
    </xf>
    <xf numFmtId="0" fontId="22" fillId="0" borderId="45" xfId="1" applyFont="1" applyBorder="1" applyAlignment="1">
      <alignment horizontal="center" vertical="center" wrapText="1"/>
    </xf>
    <xf numFmtId="0" fontId="22" fillId="0" borderId="46" xfId="1" applyFont="1" applyBorder="1" applyAlignment="1">
      <alignment horizontal="center" vertical="center" wrapText="1"/>
    </xf>
    <xf numFmtId="0" fontId="22" fillId="0" borderId="47" xfId="1" applyFont="1" applyBorder="1" applyAlignment="1">
      <alignment horizontal="center" vertical="center" wrapText="1"/>
    </xf>
    <xf numFmtId="0" fontId="22" fillId="0" borderId="12" xfId="1" applyFont="1" applyBorder="1" applyAlignment="1">
      <alignment horizontal="left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center"/>
    </xf>
    <xf numFmtId="4" fontId="11" fillId="0" borderId="52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52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18" fillId="0" borderId="52" xfId="0" applyFont="1" applyBorder="1" applyAlignment="1">
      <alignment horizontal="center"/>
    </xf>
    <xf numFmtId="4" fontId="25" fillId="0" borderId="0" xfId="1" applyNumberFormat="1" applyFont="1" applyBorder="1" applyAlignment="1">
      <alignment horizontal="center"/>
    </xf>
    <xf numFmtId="4" fontId="25" fillId="0" borderId="19" xfId="1" applyNumberFormat="1" applyFont="1" applyBorder="1" applyAlignment="1">
      <alignment horizontal="center"/>
    </xf>
    <xf numFmtId="0" fontId="22" fillId="0" borderId="12" xfId="1" applyFont="1" applyBorder="1" applyAlignment="1">
      <alignment vertical="center" wrapText="1"/>
    </xf>
    <xf numFmtId="0" fontId="22" fillId="0" borderId="0" xfId="1" applyFont="1" applyBorder="1" applyAlignment="1">
      <alignment horizontal="left" vertical="top" wrapText="1"/>
    </xf>
    <xf numFmtId="0" fontId="22" fillId="0" borderId="0" xfId="1" applyFont="1" applyBorder="1" applyAlignment="1">
      <alignment horizontal="left" vertical="top"/>
    </xf>
    <xf numFmtId="4" fontId="21" fillId="0" borderId="0" xfId="1" applyNumberFormat="1" applyFont="1" applyBorder="1" applyAlignment="1">
      <alignment horizontal="center"/>
    </xf>
    <xf numFmtId="4" fontId="21" fillId="0" borderId="19" xfId="1" applyNumberFormat="1" applyFont="1" applyBorder="1" applyAlignment="1">
      <alignment horizontal="center"/>
    </xf>
    <xf numFmtId="49" fontId="21" fillId="2" borderId="13" xfId="1" quotePrefix="1" applyNumberFormat="1" applyFont="1" applyFill="1" applyBorder="1" applyAlignment="1">
      <alignment horizontal="center" vertical="center"/>
    </xf>
    <xf numFmtId="49" fontId="21" fillId="2" borderId="0" xfId="1" quotePrefix="1" applyNumberFormat="1" applyFont="1" applyFill="1" applyBorder="1" applyAlignment="1">
      <alignment horizontal="center" vertical="center"/>
    </xf>
    <xf numFmtId="49" fontId="21" fillId="0" borderId="13" xfId="1" quotePrefix="1" applyNumberFormat="1" applyFont="1" applyBorder="1" applyAlignment="1">
      <alignment horizontal="center" vertical="center"/>
    </xf>
    <xf numFmtId="49" fontId="21" fillId="0" borderId="0" xfId="1" quotePrefix="1" applyNumberFormat="1" applyFont="1" applyBorder="1" applyAlignment="1">
      <alignment horizontal="center" vertical="center"/>
    </xf>
    <xf numFmtId="49" fontId="21" fillId="2" borderId="13" xfId="1" applyNumberFormat="1" applyFont="1" applyFill="1" applyBorder="1" applyAlignment="1">
      <alignment horizontal="center" vertical="top" wrapText="1"/>
    </xf>
    <xf numFmtId="49" fontId="21" fillId="2" borderId="0" xfId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9">
    <cellStyle name="S4 2 3" xfId="23" xr:uid="{00000000-0005-0000-0000-000000000000}"/>
    <cellStyle name="S5 2" xfId="17" xr:uid="{00000000-0005-0000-0000-000001000000}"/>
    <cellStyle name="S5 2 3" xfId="22" xr:uid="{00000000-0005-0000-0000-000002000000}"/>
    <cellStyle name="S6 2" xfId="16" xr:uid="{00000000-0005-0000-0000-000003000000}"/>
    <cellStyle name="S7 2" xfId="18" xr:uid="{00000000-0005-0000-0000-000004000000}"/>
    <cellStyle name="Обычный" xfId="0" builtinId="0"/>
    <cellStyle name="Обычный 10" xfId="21" xr:uid="{00000000-0005-0000-0000-000006000000}"/>
    <cellStyle name="Обычный 10 8" xfId="19" xr:uid="{00000000-0005-0000-0000-000007000000}"/>
    <cellStyle name="Обычный 12 11" xfId="8" xr:uid="{00000000-0005-0000-0000-000008000000}"/>
    <cellStyle name="Обычный 12 11 2" xfId="10" xr:uid="{00000000-0005-0000-0000-000009000000}"/>
    <cellStyle name="Обычный 12 11 3" xfId="13" xr:uid="{00000000-0005-0000-0000-00000A000000}"/>
    <cellStyle name="Обычный 2" xfId="1" xr:uid="{00000000-0005-0000-0000-00000B000000}"/>
    <cellStyle name="Обычный 2 2" xfId="28" xr:uid="{00000000-0005-0000-0000-00000C000000}"/>
    <cellStyle name="Обычный 2 2 5" xfId="24" xr:uid="{00000000-0005-0000-0000-00000D000000}"/>
    <cellStyle name="Обычный 2 2 6" xfId="27" xr:uid="{00000000-0005-0000-0000-00000E000000}"/>
    <cellStyle name="Обычный 2 3" xfId="9" xr:uid="{00000000-0005-0000-0000-00000F000000}"/>
    <cellStyle name="Обычный 2 3 2" xfId="11" xr:uid="{00000000-0005-0000-0000-000010000000}"/>
    <cellStyle name="Обычный 2 3 3" xfId="14" xr:uid="{00000000-0005-0000-0000-000011000000}"/>
    <cellStyle name="Обычный 2 3 4" xfId="25" xr:uid="{00000000-0005-0000-0000-000012000000}"/>
    <cellStyle name="Обычный 2 3_Расчет (2)" xfId="7" xr:uid="{00000000-0005-0000-0000-000013000000}"/>
    <cellStyle name="Обычный 3" xfId="4" xr:uid="{00000000-0005-0000-0000-000014000000}"/>
    <cellStyle name="Обычный 3 10 2 2 2" xfId="26" xr:uid="{00000000-0005-0000-0000-000015000000}"/>
    <cellStyle name="Обычный 4" xfId="12" xr:uid="{00000000-0005-0000-0000-000016000000}"/>
    <cellStyle name="Обычный 5" xfId="15" xr:uid="{00000000-0005-0000-0000-000017000000}"/>
    <cellStyle name="Обычный 69 2" xfId="20" xr:uid="{00000000-0005-0000-0000-000018000000}"/>
    <cellStyle name="Обычный_Ведомость объемов СМР-сент" xfId="3" xr:uid="{00000000-0005-0000-0000-000019000000}"/>
    <cellStyle name="Финансовый" xfId="6" builtinId="3"/>
    <cellStyle name="Финансовый 2" xfId="2" xr:uid="{00000000-0005-0000-0000-00001B000000}"/>
    <cellStyle name="Финансовый 2 2" xfId="5" xr:uid="{00000000-0005-0000-0000-00001C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8.xml"/><Relationship Id="rId47" Type="http://schemas.openxmlformats.org/officeDocument/2006/relationships/externalLink" Target="externalLinks/externalLink13.xml"/><Relationship Id="rId50" Type="http://schemas.openxmlformats.org/officeDocument/2006/relationships/externalLink" Target="externalLinks/externalLink1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externalLink" Target="externalLinks/externalLink1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externalLink" Target="externalLinks/externalLink9.xml"/><Relationship Id="rId48" Type="http://schemas.openxmlformats.org/officeDocument/2006/relationships/externalLink" Target="externalLinks/externalLink1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externalLink" Target="externalLinks/externalLink12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49" Type="http://schemas.openxmlformats.org/officeDocument/2006/relationships/externalLink" Target="externalLinks/externalLink1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1629833</xdr:colOff>
      <xdr:row>142</xdr:row>
      <xdr:rowOff>21167</xdr:rowOff>
    </xdr:from>
    <xdr:to>
      <xdr:col>0</xdr:col>
      <xdr:colOff>2137833</xdr:colOff>
      <xdr:row>143</xdr:row>
      <xdr:rowOff>61576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476009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143</xdr:row>
      <xdr:rowOff>19598</xdr:rowOff>
    </xdr:from>
    <xdr:to>
      <xdr:col>0</xdr:col>
      <xdr:colOff>2127250</xdr:colOff>
      <xdr:row>144</xdr:row>
      <xdr:rowOff>87858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56</xdr:row>
      <xdr:rowOff>21167</xdr:rowOff>
    </xdr:from>
    <xdr:to>
      <xdr:col>0</xdr:col>
      <xdr:colOff>2137833</xdr:colOff>
      <xdr:row>57</xdr:row>
      <xdr:rowOff>61576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17928167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57</xdr:row>
      <xdr:rowOff>19598</xdr:rowOff>
    </xdr:from>
    <xdr:to>
      <xdr:col>0</xdr:col>
      <xdr:colOff>2127250</xdr:colOff>
      <xdr:row>58</xdr:row>
      <xdr:rowOff>87858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8117098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143</xdr:row>
      <xdr:rowOff>19598</xdr:rowOff>
    </xdr:from>
    <xdr:to>
      <xdr:col>0</xdr:col>
      <xdr:colOff>2127250</xdr:colOff>
      <xdr:row>144</xdr:row>
      <xdr:rowOff>87858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99</xdr:row>
      <xdr:rowOff>21167</xdr:rowOff>
    </xdr:from>
    <xdr:to>
      <xdr:col>0</xdr:col>
      <xdr:colOff>2137833</xdr:colOff>
      <xdr:row>100</xdr:row>
      <xdr:rowOff>61576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3140604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100</xdr:row>
      <xdr:rowOff>19598</xdr:rowOff>
    </xdr:from>
    <xdr:to>
      <xdr:col>0</xdr:col>
      <xdr:colOff>2127250</xdr:colOff>
      <xdr:row>101</xdr:row>
      <xdr:rowOff>87858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59497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1629833</xdr:colOff>
      <xdr:row>134</xdr:row>
      <xdr:rowOff>21167</xdr:rowOff>
    </xdr:from>
    <xdr:to>
      <xdr:col>0</xdr:col>
      <xdr:colOff>2137833</xdr:colOff>
      <xdr:row>135</xdr:row>
      <xdr:rowOff>61576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4238334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427265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93</xdr:row>
      <xdr:rowOff>21167</xdr:rowOff>
    </xdr:from>
    <xdr:to>
      <xdr:col>0</xdr:col>
      <xdr:colOff>2137833</xdr:colOff>
      <xdr:row>94</xdr:row>
      <xdr:rowOff>61576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8238834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94</xdr:row>
      <xdr:rowOff>19598</xdr:rowOff>
    </xdr:from>
    <xdr:to>
      <xdr:col>0</xdr:col>
      <xdr:colOff>2127250</xdr:colOff>
      <xdr:row>95</xdr:row>
      <xdr:rowOff>87858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8427765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843681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51</xdr:row>
      <xdr:rowOff>21167</xdr:rowOff>
    </xdr:from>
    <xdr:to>
      <xdr:col>0</xdr:col>
      <xdr:colOff>2137833</xdr:colOff>
      <xdr:row>52</xdr:row>
      <xdr:rowOff>61576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35655250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52</xdr:row>
      <xdr:rowOff>19598</xdr:rowOff>
    </xdr:from>
    <xdr:to>
      <xdr:col>0</xdr:col>
      <xdr:colOff>2127250</xdr:colOff>
      <xdr:row>53</xdr:row>
      <xdr:rowOff>87858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5844181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1629833</xdr:colOff>
      <xdr:row>134</xdr:row>
      <xdr:rowOff>21167</xdr:rowOff>
    </xdr:from>
    <xdr:to>
      <xdr:col>0</xdr:col>
      <xdr:colOff>2137833</xdr:colOff>
      <xdr:row>135</xdr:row>
      <xdr:rowOff>61576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476009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52</xdr:row>
      <xdr:rowOff>21167</xdr:rowOff>
    </xdr:from>
    <xdr:to>
      <xdr:col>0</xdr:col>
      <xdr:colOff>2137833</xdr:colOff>
      <xdr:row>53</xdr:row>
      <xdr:rowOff>61576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3142509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53</xdr:row>
      <xdr:rowOff>19598</xdr:rowOff>
    </xdr:from>
    <xdr:to>
      <xdr:col>0</xdr:col>
      <xdr:colOff>2127250</xdr:colOff>
      <xdr:row>54</xdr:row>
      <xdr:rowOff>87858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614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93</xdr:row>
      <xdr:rowOff>21167</xdr:rowOff>
    </xdr:from>
    <xdr:to>
      <xdr:col>0</xdr:col>
      <xdr:colOff>2137833</xdr:colOff>
      <xdr:row>94</xdr:row>
      <xdr:rowOff>61576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1765194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94</xdr:row>
      <xdr:rowOff>19598</xdr:rowOff>
    </xdr:from>
    <xdr:to>
      <xdr:col>0</xdr:col>
      <xdr:colOff>2127250</xdr:colOff>
      <xdr:row>95</xdr:row>
      <xdr:rowOff>87858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84087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ol1\&#1088;&#1072;&#1073;&#1086;&#1090;&#1072;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Macros\Ma&#1089;ros-&#1058;&#1055;\MacrosFiles-&#1058;&#1055;\MT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hangulov/Downloads/6.%20&#1084;&#1086;&#1089;.%20&#1056;&#1040;&#1057;&#1063;&#1045;&#1058;%20&#1085;&#1072;%20&#1059;&#1050;%20&#1051;&#1086;&#1089;&#1080;&#1085;&#1099;&#1081;%20&#1086;&#1089;&#1090;&#1088;&#1086;&#1074;%20(&#1073;&#1077;&#1079;%20&#1052;&#1056;&#1056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0;&#1059;%20&#1059;&#1044;&#1052;&#1057;/&#1057;&#1084;&#1077;&#1090;&#1085;&#1086;-&#1076;&#1086;&#1075;&#1086;&#1074;&#1086;&#1088;&#1085;&#1086;&#1077;%20&#1091;&#1087;&#1088;&#1072;&#1074;&#1083;&#1077;&#1085;&#1080;&#1077;/&#1052;&#1072;&#1088;&#1082;&#1086;&#1074;&#1085;&#1080;&#1082;&#1086;&#1074;&#1072;/&#1051;&#1086;&#1089;&#1080;&#1085;&#1099;&#1081;%20&#1086;&#1089;&#1090;&#1088;&#1086;&#1074;/00.%20&#1057;&#1074;&#1086;&#1076;&#1085;&#1072;&#1103;%20&#1089;&#1084;&#1077;&#1090;&#1072;_&#1055;&#1053;&#1062;%20&#8212;&#1089;%20&#1085;&#1077;&#1087;&#1088;&#1077;&#1076;&#1074;.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hangulov/Downloads/&#1087;&#1086;&#1103;&#1089;&#1085;&#1080;&#1090;&#1077;&#1083;&#1100;&#1085;&#1072;&#1103;%20&#1079;&#1072;&#1087;&#1080;&#1089;&#1082;&#1072;%20&#8212;%20&#1082;&#1086;&#1087;&#1080;&#110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hangulov/Downloads/&#1055;&#1047;%20&#1087;&#1086;&#1076;%20&#1088;&#1072;&#1089;&#1095;&#1077;&#1090;%206.&#1088;&#1086;&#1089;&#1089;&#1090;&#1072;&#1090;%202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&#1052;&#1086;&#1080;%20&#1076;&#1086;&#1082;&#1091;&#1084;&#1077;&#1085;&#1090;&#1099;\Documents%20and%20Settings\Maria\&#1052;&#1086;&#1080;%20&#1076;&#1086;&#1082;&#1091;&#1084;&#1077;&#1085;&#1090;&#1099;\&#1052;&#1086;&#1089;&#1082;&#1074;&#1072;%20-%20&#1057;_&#1055;&#1073;%202003\&#1060;&#1086;&#1088;&#1084;&#1099;_9-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WP\NGK\5_2005\&#1057;&#1084;&#1077;&#1090;&#1072;_5_2005_&#1050;&#1072;&#1088;&#1100;&#1077;&#1088;&#1099;-&#104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Temp\Rar$DI00.781\&#1048;&#1079;&#1099;&#1089;&#1082;&#1072;&#1085;&#1080;&#1103;\&#1075;&#1077;&#1086;&#1083;-&#1048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&#1043;&#1045;&#1054;&#1057;&#1052;&#1045;&#1058;&#1040;\&#1056;&#1040;&#1057;&#1063;&#1045;&#1058;%20&#1057;&#1052;&#1045;&#1058;&#106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РП"/>
      <sheetName val="См 1 наруж.водопровод"/>
      <sheetName val="Шкаф"/>
      <sheetName val="Коэфф1."/>
      <sheetName val="Прайс лист"/>
      <sheetName val="Обновление"/>
      <sheetName val="Цена"/>
      <sheetName val="Product"/>
      <sheetName val="Данные для расчёта сметы"/>
      <sheetName val="График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Лист1"/>
      <sheetName val="ПДР"/>
      <sheetName val="КП НовоКов"/>
      <sheetName val="Summary"/>
      <sheetName val="sapactivexlhiddensheet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Спецификация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ПД"/>
      <sheetName val="Полигон - ИЭИ "/>
      <sheetName val="Ком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См.3_АСУ"/>
      <sheetName val="MararashAA"/>
      <sheetName val="лч и кам"/>
      <sheetName val="№1"/>
      <sheetName val="Общ"/>
      <sheetName val="Пра_x0000_с_лист"/>
      <sheetName val="геол"/>
      <sheetName val="BACT"/>
      <sheetName val="Сводная "/>
      <sheetName val="7.ТХ Сети (кор)"/>
      <sheetName val="Tier 311208"/>
      <sheetName val="свод_ИИР"/>
      <sheetName val="Акт выбора"/>
      <sheetName val="исключ ЭХЗ"/>
      <sheetName val="БДР"/>
      <sheetName val="РСС_АУ"/>
      <sheetName val="Раб.АУ"/>
      <sheetName val="См.№7 Эл."/>
      <sheetName val="См.№8 Пож."/>
      <sheetName val="См.№3 ВиК"/>
      <sheetName val="Сметы за сопровождение"/>
      <sheetName val="КБК ДПК"/>
      <sheetName val="См_2 Шатурс сети  проект работы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ПС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Пра"/>
      <sheetName val="Переменные_и_константы1"/>
      <sheetName val="1_31"/>
      <sheetName val="К_рын1"/>
      <sheetName val="Сводная_смета1"/>
      <sheetName val="Пояснение_"/>
      <sheetName val="ПДР_ООО_&quot;Юкос_ФБЦ&quot;1"/>
      <sheetName val="Прибыль_опл1"/>
      <sheetName val="СМЕТА_проект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прав_2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1свод1"/>
      <sheetName val="№5_СУБ_Инж_защ1"/>
      <sheetName val="Смета_21"/>
      <sheetName val="3_1_ТХ1"/>
      <sheetName val="смета_2_проект__работы"/>
      <sheetName val="СтрЗапасов_(2)"/>
      <sheetName val="НМ_расчеты"/>
      <sheetName val="свод_3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3_СЦБ-зап1"/>
      <sheetName val="Ачинский_НПЗ1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Амур_ДОН1"/>
      <sheetName val="3_51"/>
      <sheetName val="Смета_терзем"/>
      <sheetName val="Кал_план_Жукова_даты_-_не_надо"/>
      <sheetName val="КП_(2)1"/>
      <sheetName val="Б_Сатка1"/>
      <sheetName val="р_Волхов1"/>
      <sheetName val="Баланс_(Ф1)"/>
      <sheetName val="Полигон_-_ИЭИ_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Таблица_5"/>
      <sheetName val="Таблица_3"/>
      <sheetName val="1_401_2"/>
      <sheetName val="Source_lists"/>
      <sheetName val="PO_Data"/>
      <sheetName val="См_3_АСУ"/>
      <sheetName val="лч_и_кам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СМ"/>
      <sheetName val="8"/>
      <sheetName val="исх-данные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таблица_руко_x0019__x0015_ _x0003__x000c__x0011__x0011_"/>
      <sheetName val="Сводный"/>
      <sheetName val="6"/>
      <sheetName val="СМИС"/>
      <sheetName val="basa"/>
      <sheetName val="ПД-2.2"/>
      <sheetName val="1.14"/>
      <sheetName val="1.7"/>
      <sheetName val="Имя"/>
      <sheetName val="кап.ремонт"/>
      <sheetName val="База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Ref"/>
      <sheetName val="выборка "/>
      <sheetName val="выборка раб"/>
      <sheetName val="эл_химз_3"/>
      <sheetName val="геология_3"/>
      <sheetName val="См_1_наруж_водопровод2"/>
      <sheetName val="свод_22"/>
      <sheetName val="Коэфф1_2"/>
      <sheetName val="Прайс_лист2"/>
      <sheetName val="Данные_для_расчёта_сметы2"/>
      <sheetName val="Разработка_проекта2"/>
      <sheetName val="КП_НовоКов2"/>
      <sheetName val="СметаСводная_1_оч2"/>
      <sheetName val="Пример_расчета2"/>
      <sheetName val="свод_(2)1"/>
      <sheetName val="Калплан_ОИ2_Макм_крестики1"/>
      <sheetName val="Смета2_проект__раб_2"/>
      <sheetName val="Зап-3-_СЦБ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СметаСводная_Рыб2"/>
      <sheetName val="к_84-к_832"/>
      <sheetName val="ст_ГТМ1"/>
      <sheetName val="Текущие_цены2"/>
      <sheetName val="отчет_эл_эн__20002"/>
      <sheetName val="6_31"/>
      <sheetName val="6_71"/>
      <sheetName val="6_3_1_31"/>
      <sheetName val="Смета_12"/>
      <sheetName val="Св__смета1"/>
      <sheetName val="РБС_ИЗМ11"/>
      <sheetName val="Таблица_2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См_2_Шатурс_сети__проект_работы"/>
      <sheetName val="Сводная_"/>
      <sheetName val="7_ТХ_Сети_(кор)"/>
      <sheetName val="Tier_311208"/>
      <sheetName val="Акт_выбора"/>
      <sheetName val="исключ_ЭХЗ"/>
      <sheetName val="Раб_АУ"/>
      <sheetName val="См_№7_Эл_"/>
      <sheetName val="См_№8_Пож_"/>
      <sheetName val="См_№3_ВиК"/>
      <sheetName val="Сметы_за_сопровождение"/>
      <sheetName val="КБК_ДП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 Свод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ИД ПНР"/>
      <sheetName val="Main list"/>
      <sheetName val="Технический лист"/>
      <sheetName val="41"/>
      <sheetName val="Тестовый"/>
      <sheetName val="Прил.5 СС"/>
      <sheetName val="Panduit"/>
      <sheetName val="ГАЗ_камаз"/>
      <sheetName val="Форма 2.1"/>
      <sheetName val="Договорная цена"/>
      <sheetName val="№2Гидромет."/>
      <sheetName val="№2Геолог"/>
      <sheetName val="№2Геолог с.п."/>
      <sheetName val="№3Экологи (2этап)"/>
      <sheetName val="расчеты"/>
      <sheetName val="Исходная"/>
      <sheetName val="const"/>
      <sheetName val="расчет вязкости"/>
      <sheetName val="Сравнение с Finder - ДНС-5"/>
      <sheetName val="ДЦ"/>
      <sheetName val=" Оборудование  end"/>
      <sheetName val="автоматизация РД"/>
      <sheetName val="Прочее"/>
      <sheetName val="ПД-2.1"/>
      <sheetName val="Акт-Смета_30"/>
      <sheetName val="ЛЧ Р"/>
      <sheetName val="сводная (2)"/>
      <sheetName val="GLOBAL"/>
      <sheetName val="темп"/>
      <sheetName val="СВ"/>
      <sheetName val="2.1"/>
      <sheetName val="ИНСТРУКЦИЯ"/>
      <sheetName val="ЕТС (ф)"/>
      <sheetName val="РабПр"/>
      <sheetName val="Восстановл_Лис礊め_x0005_"/>
      <sheetName val="см 5 ОДД "/>
      <sheetName val="СмРучБур"/>
      <sheetName val="Поставка"/>
      <sheetName val="Расчет работы"/>
      <sheetName val="Акт выполненных работ 46"/>
      <sheetName val="SMW_Служебная"/>
      <sheetName val="Смета 7"/>
      <sheetName val="ЖД 3.1"/>
      <sheetName val="УСР"/>
      <sheetName val="Объемы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>
        <row r="1">
          <cell r="B1">
            <v>0</v>
          </cell>
        </row>
      </sheetData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>
        <row r="1">
          <cell r="B1">
            <v>0</v>
          </cell>
        </row>
      </sheetData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>
        <row r="1">
          <cell r="B1">
            <v>0</v>
          </cell>
        </row>
      </sheetData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/>
      <sheetData sheetId="109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/>
      <sheetData sheetId="1104"/>
      <sheetData sheetId="1105"/>
      <sheetData sheetId="110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лон"/>
      <sheetName val="эталон_new"/>
      <sheetName val="старый эталон"/>
      <sheetName val="шаблон"/>
      <sheetName val="информация"/>
    </sheetNames>
    <sheetDataSet>
      <sheetData sheetId="0"/>
      <sheetData sheetId="1"/>
      <sheetData sheetId="2"/>
      <sheetData sheetId="3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ГИП"/>
      <sheetName val="ОРФиСО"/>
      <sheetName val="Филиалы"/>
      <sheetName val="анн"/>
      <sheetName val="связи"/>
      <sheetName val="информация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39426.518341319446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ПНЦ на УК"/>
      <sheetName val="расчет 1 эт ПИР"/>
      <sheetName val="расчет 2 эт ПИР"/>
      <sheetName val="расчет эт 3 ПИР"/>
      <sheetName val="ПЗ"/>
      <sheetName val="расчет СМР"/>
      <sheetName val="расчет 1."/>
      <sheetName val="расчет 2."/>
      <sheetName val="расчет 2.1."/>
      <sheetName val="расчет 3."/>
      <sheetName val="расчет 4."/>
      <sheetName val="расчет 5."/>
      <sheetName val="расчет 6."/>
      <sheetName val="расчет 7."/>
      <sheetName val="расчет 8."/>
      <sheetName val="расчет 9."/>
      <sheetName val="расчет 10."/>
      <sheetName val="расчет 11."/>
      <sheetName val="расчет 12."/>
      <sheetName val="расчет 13."/>
      <sheetName val="расчет 14."/>
      <sheetName val="расчет 15."/>
      <sheetName val="расчет 16."/>
      <sheetName val="расчет 17."/>
      <sheetName val="расчет 18."/>
      <sheetName val="расчет 19."/>
      <sheetName val="расчет 20."/>
      <sheetName val="расчет 21."/>
      <sheetName val="расчет 22."/>
      <sheetName val="расчет 23"/>
      <sheetName val="расчет 24."/>
      <sheetName val="расчет 25."/>
      <sheetName val="расчет 26."/>
    </sheetNames>
    <sheetDataSet>
      <sheetData sheetId="0"/>
      <sheetData sheetId="1">
        <row r="32">
          <cell r="B32">
            <v>3597357720</v>
          </cell>
        </row>
        <row r="108">
          <cell r="B108">
            <v>143579210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расчет_эт.1"/>
      <sheetName val="расчет_эт.2"/>
      <sheetName val="расчет_эт.3"/>
      <sheetName val="ПНЦ"/>
      <sheetName val="УК"/>
    </sheetNames>
    <sheetDataSet>
      <sheetData sheetId="0">
        <row r="49">
          <cell r="D49">
            <v>25870226</v>
          </cell>
        </row>
      </sheetData>
      <sheetData sheetId="1"/>
      <sheetData sheetId="2">
        <row r="12">
          <cell r="D12">
            <v>33220155</v>
          </cell>
        </row>
        <row r="14">
          <cell r="D14">
            <v>39864186</v>
          </cell>
        </row>
      </sheetData>
      <sheetData sheetId="3">
        <row r="12">
          <cell r="D12">
            <v>10054812</v>
          </cell>
        </row>
        <row r="14">
          <cell r="D14">
            <v>12065774</v>
          </cell>
        </row>
      </sheetData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З"/>
      <sheetName val="МГЭ"/>
      <sheetName val="таблица 2"/>
      <sheetName val="таблица 1"/>
      <sheetName val="Лист3"/>
      <sheetName val="Лист2"/>
      <sheetName val="Лист1"/>
      <sheetName val="прогноз"/>
      <sheetName val="Данные"/>
    </sheetNames>
    <sheetDataSet>
      <sheetData sheetId="0" refreshError="1"/>
      <sheetData sheetId="1">
        <row r="3">
          <cell r="I3">
            <v>1.1477999999999999</v>
          </cell>
        </row>
        <row r="4">
          <cell r="I4">
            <v>1.0055000000000001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З"/>
      <sheetName val="МГЭ"/>
      <sheetName val="таблица 2"/>
      <sheetName val="таблица 1"/>
      <sheetName val="Лист3"/>
      <sheetName val="Лист2"/>
      <sheetName val="Лист1"/>
      <sheetName val="прогноз"/>
      <sheetName val="Данные"/>
    </sheetNames>
    <sheetDataSet>
      <sheetData sheetId="0"/>
      <sheetData sheetId="1">
        <row r="3">
          <cell r="I3">
            <v>1.1477999999999999</v>
          </cell>
        </row>
        <row r="4">
          <cell r="I4">
            <v>1.0055000000000001</v>
          </cell>
        </row>
        <row r="5">
          <cell r="I5">
            <v>1.4041999999999999</v>
          </cell>
        </row>
        <row r="6">
          <cell r="I6">
            <v>1.2059</v>
          </cell>
        </row>
        <row r="7">
          <cell r="I7">
            <v>1.0085</v>
          </cell>
        </row>
        <row r="8">
          <cell r="I8">
            <v>0.99919999999999998</v>
          </cell>
        </row>
        <row r="9">
          <cell r="I9">
            <v>1.0085</v>
          </cell>
        </row>
        <row r="10">
          <cell r="I10">
            <v>1.4086000000000001</v>
          </cell>
        </row>
        <row r="12">
          <cell r="I12">
            <v>1.1344000000000001</v>
          </cell>
        </row>
      </sheetData>
      <sheetData sheetId="2"/>
      <sheetData sheetId="3">
        <row r="42">
          <cell r="G42">
            <v>7.2549000000000001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9"/>
      <sheetName val="Форма 9 (К)"/>
      <sheetName val="Форма 10"/>
      <sheetName val="Форма 10 (К)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геолог"/>
      <sheetName val="Лист2"/>
      <sheetName val="Лист3"/>
      <sheetName val="геолог м"/>
      <sheetName val="геодез"/>
      <sheetName val="геоф"/>
      <sheetName val="свод 3"/>
      <sheetName val="свод 2"/>
      <sheetName val="исх-данные"/>
      <sheetName val="топография"/>
      <sheetName val="№1"/>
      <sheetName val="Коэфф"/>
      <sheetName val="Смета_5_2005_Карьеры-Б"/>
      <sheetName val="Справочные данные"/>
      <sheetName val="3.1.6"/>
      <sheetName val="Труд"/>
      <sheetName val="ид смр"/>
      <sheetName val="ид пнр"/>
      <sheetName val="09-10-02"/>
      <sheetName val="ОПС"/>
      <sheetName val="data"/>
      <sheetName val="исх_данные"/>
      <sheetName val="геод"/>
      <sheetName val="смета"/>
      <sheetName val="Данные для расчёта сметы"/>
      <sheetName val="шаблон"/>
      <sheetName val="база"/>
      <sheetName val="коэффициенты"/>
      <sheetName val="Смета 7"/>
      <sheetName val="БД"/>
    </sheetNames>
    <sheetDataSet>
      <sheetData sheetId="0" refreshError="1"/>
      <sheetData sheetId="1">
        <row r="81">
          <cell r="L81">
            <v>11150.96551828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Амур ДОН"/>
      <sheetName val="Opex personnel (Term facs)"/>
      <sheetName val="Лист1"/>
      <sheetName val="КП (2)"/>
      <sheetName val="Calc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Настройки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Данные для расчёта сметы"/>
      <sheetName val="Прилож"/>
      <sheetName val="ПДР"/>
      <sheetName val="см8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отчет эл_эн  2000"/>
      <sheetName val="к.84-к.83"/>
      <sheetName val="Summary"/>
      <sheetName val="все"/>
      <sheetName val="свод 2"/>
      <sheetName val="Зап-3- СЦБ"/>
      <sheetName val="Кредиты"/>
      <sheetName val="Табл38-7"/>
      <sheetName val="Пример расчета"/>
      <sheetName val="СметаСводная Рыб"/>
      <sheetName val="информация"/>
      <sheetName val="13.1"/>
      <sheetName val="Счет-Фактура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  <sheetName val="Main list"/>
      <sheetName val="ПД-2.2"/>
      <sheetName val="6"/>
      <sheetName val="1.14"/>
      <sheetName val="1.7"/>
      <sheetName val="#ССЫЛКА"/>
      <sheetName val="Вспом."/>
      <sheetName val="УКП"/>
      <sheetName val="БД"/>
      <sheetName val="Лист4"/>
      <sheetName val="Общий"/>
      <sheetName val="ТабР"/>
      <sheetName val="ЕТС (ф)"/>
      <sheetName val="база"/>
      <sheetName val="3_гидромет"/>
      <sheetName val="исх-данные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13_11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ПС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ромер глуб"/>
      <sheetName val="Исх. данные"/>
      <sheetName val="Исх1"/>
      <sheetName val="SENSITIVITY"/>
      <sheetName val="Расчет №1.1"/>
      <sheetName val="Расчет №2.1"/>
      <sheetName val="8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Д ПНР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Приложение 2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одная"/>
      <sheetName val="Должности"/>
      <sheetName val="3 Сл.-структура затрат"/>
      <sheetName val="const"/>
      <sheetName val="расчеты"/>
      <sheetName val="ПС 110 кВ (доп)"/>
      <sheetName val="ПД-2.1"/>
      <sheetName val="Пра_x0000_с_лист"/>
      <sheetName val="Смета 7"/>
      <sheetName val="Бл_электр_"/>
      <sheetName val="Прил.5 СС"/>
      <sheetName val="расчет вязкости"/>
      <sheetName val="Сравнение с Finder - ДНС-5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КБК_ДПК"/>
      <sheetName val="ТЗ_АСУ-1"/>
      <sheetName val="лч_и_кам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ЕТС_(ф)"/>
      <sheetName val="Исх__данные"/>
      <sheetName val="Main_list"/>
      <sheetName val="ПД-2_2"/>
      <sheetName val="1_14"/>
      <sheetName val="1_7"/>
      <sheetName val="Промер_глуб"/>
      <sheetName val="см 5 ОДД "/>
      <sheetName val="Смета _4ПР ЭХЗ"/>
      <sheetName val="РабПр"/>
      <sheetName val="таблица_руко 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Пример_расчета4"/>
      <sheetName val="свод_24"/>
      <sheetName val="Зап-3-_СЦБ4"/>
      <sheetName val="СметаСводная_Рыб4"/>
      <sheetName val="13_13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ТЗ_АСУ-11"/>
      <sheetName val="лч_и_кам1"/>
      <sheetName val="ИД_СМР1"/>
      <sheetName val="Вспом_1"/>
      <sheetName val="Бл_электр_1"/>
      <sheetName val="2_Геология1"/>
      <sheetName val="Объем_работ1"/>
      <sheetName val="Виды_работ_АСО1"/>
      <sheetName val="ФОТ_для_смет1"/>
      <sheetName val="КБК_ДПК1"/>
      <sheetName val="ЕТС_(ф)1"/>
      <sheetName val="Исх__данные1"/>
      <sheetName val="Main_list1"/>
      <sheetName val="ПД-2_21"/>
      <sheetName val="1_141"/>
      <sheetName val="1_71"/>
      <sheetName val="13_14"/>
      <sheetName val="таблица_руко_2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Текущие_цены5"/>
      <sheetName val="отчет_эл_эн__20005"/>
      <sheetName val="к_84-к_835"/>
      <sheetName val="свод_25"/>
      <sheetName val="Зап-3-_СЦБ5"/>
      <sheetName val="Пример_расчета5"/>
      <sheetName val="СметаСводная_Рыб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3"/>
      <sheetName val="3_14"/>
      <sheetName val="Коммерческие_расходы4"/>
      <sheetName val="смета_2_проект__работы3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4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ТЗ_АСУ-12"/>
      <sheetName val="лч_и_кам2"/>
      <sheetName val="ИД_СМР2"/>
      <sheetName val="Вспом_2"/>
      <sheetName val="Бл_электр_2"/>
      <sheetName val="2_Геология2"/>
      <sheetName val="Объем_работ2"/>
      <sheetName val="Виды_работ_АСО2"/>
      <sheetName val="ФОТ_для_смет2"/>
      <sheetName val="КБК_ДПК2"/>
      <sheetName val="ЕТС_(ф)2"/>
      <sheetName val="Исх__данные2"/>
      <sheetName val="Main_list2"/>
      <sheetName val="ПД-2_22"/>
      <sheetName val="1_142"/>
      <sheetName val="1_72"/>
      <sheetName val="Промер_глуб1"/>
      <sheetName val="кап_ремонт"/>
      <sheetName val="СВ_2"/>
      <sheetName val="1_2_"/>
      <sheetName val="РАСПРЕД_ПО_ПРОЦЕСС"/>
      <sheetName val="Приложение_2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Расчет_№1_1"/>
      <sheetName val="Расчет_№2_1"/>
      <sheetName val="ИД_ПНР"/>
      <sheetName val="Технический_лист"/>
      <sheetName val="анализ_2003_2004исполнение_МТО"/>
      <sheetName val="сводная (2)"/>
      <sheetName val="Расч(подряд)"/>
      <sheetName val="Индексы"/>
      <sheetName val="Акт-Смета_30"/>
      <sheetName val="W28"/>
      <sheetName val="исключ_ЭХЗ"/>
      <sheetName val="исключ_ЭХЗ1"/>
      <sheetName val="таблица_руко_3"/>
      <sheetName val="13_15"/>
      <sheetName val="Пояснение_4"/>
      <sheetName val="смета_2_проект__работы4"/>
      <sheetName val="СтрЗапасов_(2)4"/>
      <sheetName val="PwC_Copies_from_old_models_--&gt;4"/>
      <sheetName val="Сравнение_ДПН_факт_06-074"/>
      <sheetName val="НМ_расчеты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таблица_руко_4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ЖД 3.1"/>
      <sheetName val="УСР"/>
      <sheetName val="Объемы"/>
      <sheetName val="СметаСводная п54"/>
      <sheetName val="СметаСводная пуш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фициенты"/>
      <sheetName val="Смета 2 эл.монтаж"/>
      <sheetName val="Смета 1 общестроит"/>
      <sheetName val="ДЦ"/>
      <sheetName val=" Оборудование  end"/>
      <sheetName val="автоматизация РД"/>
      <sheetName val="Восстановл_Лис礊め_x0005_"/>
      <sheetName val="Акт выполненных работ 46"/>
      <sheetName val="SMW_Служебная"/>
      <sheetName val="См_2 Шатурс сети  проект работы"/>
      <sheetName val="Ref"/>
      <sheetName val="выборка "/>
      <sheetName val="выборка раб"/>
      <sheetName val="7"/>
      <sheetName val="Прочее"/>
      <sheetName val="ЛЧ Р"/>
      <sheetName val="GLOBAL"/>
      <sheetName val="темп"/>
      <sheetName val="Форма 2.1"/>
      <sheetName val="СВ"/>
      <sheetName val="2.1"/>
      <sheetName val="ИНСТРУКЦИ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 refreshError="1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/>
      <sheetData sheetId="1046"/>
      <sheetData sheetId="1047" refreshError="1"/>
      <sheetData sheetId="1048" refreshError="1"/>
      <sheetData sheetId="1049" refreshError="1"/>
      <sheetData sheetId="1050"/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>
        <row r="1">
          <cell r="B1">
            <v>0</v>
          </cell>
        </row>
      </sheetData>
      <sheetData sheetId="1056" refreshError="1"/>
      <sheetData sheetId="1057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>
        <row r="1">
          <cell r="B1">
            <v>0</v>
          </cell>
        </row>
      </sheetData>
      <sheetData sheetId="1070" refreshError="1"/>
      <sheetData sheetId="1071"/>
      <sheetData sheetId="1072" refreshError="1"/>
      <sheetData sheetId="1073" refreshError="1"/>
      <sheetData sheetId="1074" refreshError="1"/>
      <sheetData sheetId="1075">
        <row r="1">
          <cell r="B1">
            <v>0</v>
          </cell>
        </row>
      </sheetData>
      <sheetData sheetId="1076" refreshError="1"/>
      <sheetData sheetId="1077" refreshError="1"/>
      <sheetData sheetId="1078" refreshError="1"/>
      <sheetData sheetId="1079">
        <row r="1">
          <cell r="B1">
            <v>0</v>
          </cell>
        </row>
      </sheetData>
      <sheetData sheetId="1080">
        <row r="1">
          <cell r="B1">
            <v>0</v>
          </cell>
        </row>
      </sheetData>
      <sheetData sheetId="1081">
        <row r="1">
          <cell r="B1">
            <v>0</v>
          </cell>
        </row>
      </sheetData>
      <sheetData sheetId="1082">
        <row r="1">
          <cell r="B1">
            <v>0</v>
          </cell>
        </row>
      </sheetData>
      <sheetData sheetId="1083">
        <row r="1">
          <cell r="B1">
            <v>0</v>
          </cell>
        </row>
      </sheetData>
      <sheetData sheetId="1084">
        <row r="1">
          <cell r="B1">
            <v>0</v>
          </cell>
        </row>
      </sheetData>
      <sheetData sheetId="1085">
        <row r="1">
          <cell r="B1">
            <v>0</v>
          </cell>
        </row>
      </sheetData>
      <sheetData sheetId="1086">
        <row r="1">
          <cell r="B1">
            <v>0</v>
          </cell>
        </row>
      </sheetData>
      <sheetData sheetId="1087">
        <row r="1">
          <cell r="B1">
            <v>0</v>
          </cell>
        </row>
      </sheetData>
      <sheetData sheetId="1088">
        <row r="1">
          <cell r="B1">
            <v>0</v>
          </cell>
        </row>
      </sheetData>
      <sheetData sheetId="1089">
        <row r="1">
          <cell r="B1">
            <v>0</v>
          </cell>
        </row>
      </sheetData>
      <sheetData sheetId="1090">
        <row r="1">
          <cell r="B1">
            <v>0</v>
          </cell>
        </row>
      </sheetData>
      <sheetData sheetId="1091">
        <row r="1">
          <cell r="B1">
            <v>0</v>
          </cell>
        </row>
      </sheetData>
      <sheetData sheetId="1092">
        <row r="1">
          <cell r="B1">
            <v>0</v>
          </cell>
        </row>
      </sheetData>
      <sheetData sheetId="1093">
        <row r="1">
          <cell r="B1">
            <v>0</v>
          </cell>
        </row>
      </sheetData>
      <sheetData sheetId="1094">
        <row r="1">
          <cell r="B1">
            <v>0</v>
          </cell>
        </row>
      </sheetData>
      <sheetData sheetId="1095">
        <row r="1">
          <cell r="B1">
            <v>0</v>
          </cell>
        </row>
      </sheetData>
      <sheetData sheetId="1096">
        <row r="1">
          <cell r="B1">
            <v>0</v>
          </cell>
        </row>
      </sheetData>
      <sheetData sheetId="1097">
        <row r="1">
          <cell r="B1">
            <v>0</v>
          </cell>
        </row>
      </sheetData>
      <sheetData sheetId="1098">
        <row r="1">
          <cell r="B1">
            <v>0</v>
          </cell>
        </row>
      </sheetData>
      <sheetData sheetId="1099">
        <row r="1">
          <cell r="B1">
            <v>0</v>
          </cell>
        </row>
      </sheetData>
      <sheetData sheetId="1100">
        <row r="1">
          <cell r="B1">
            <v>0</v>
          </cell>
        </row>
      </sheetData>
      <sheetData sheetId="1101">
        <row r="1">
          <cell r="B1">
            <v>0</v>
          </cell>
        </row>
      </sheetData>
      <sheetData sheetId="1102">
        <row r="1">
          <cell r="B1">
            <v>0</v>
          </cell>
        </row>
      </sheetData>
      <sheetData sheetId="1103">
        <row r="1">
          <cell r="B1">
            <v>0</v>
          </cell>
        </row>
      </sheetData>
      <sheetData sheetId="1104">
        <row r="1">
          <cell r="B1">
            <v>0</v>
          </cell>
        </row>
      </sheetData>
      <sheetData sheetId="1105">
        <row r="1">
          <cell r="B1">
            <v>0</v>
          </cell>
        </row>
      </sheetData>
      <sheetData sheetId="1106">
        <row r="1">
          <cell r="B1">
            <v>0</v>
          </cell>
        </row>
      </sheetData>
      <sheetData sheetId="1107">
        <row r="1">
          <cell r="B1">
            <v>0</v>
          </cell>
        </row>
      </sheetData>
      <sheetData sheetId="1108">
        <row r="1">
          <cell r="B1">
            <v>0</v>
          </cell>
        </row>
      </sheetData>
      <sheetData sheetId="1109">
        <row r="1">
          <cell r="B1">
            <v>0</v>
          </cell>
        </row>
      </sheetData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>
        <row r="1">
          <cell r="B1">
            <v>0</v>
          </cell>
        </row>
      </sheetData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>
        <row r="1">
          <cell r="B1">
            <v>0</v>
          </cell>
        </row>
      </sheetData>
      <sheetData sheetId="1119">
        <row r="1">
          <cell r="B1">
            <v>0</v>
          </cell>
        </row>
      </sheetData>
      <sheetData sheetId="1120">
        <row r="1">
          <cell r="B1">
            <v>0</v>
          </cell>
        </row>
      </sheetData>
      <sheetData sheetId="1121">
        <row r="1">
          <cell r="B1">
            <v>0</v>
          </cell>
        </row>
      </sheetData>
      <sheetData sheetId="1122">
        <row r="1">
          <cell r="B1">
            <v>0</v>
          </cell>
        </row>
      </sheetData>
      <sheetData sheetId="1123">
        <row r="1">
          <cell r="B1">
            <v>0</v>
          </cell>
        </row>
      </sheetData>
      <sheetData sheetId="1124">
        <row r="1">
          <cell r="B1">
            <v>0</v>
          </cell>
        </row>
      </sheetData>
      <sheetData sheetId="1125">
        <row r="1">
          <cell r="B1">
            <v>0</v>
          </cell>
        </row>
      </sheetData>
      <sheetData sheetId="1126">
        <row r="1">
          <cell r="B1">
            <v>0</v>
          </cell>
        </row>
      </sheetData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>
        <row r="1">
          <cell r="B1">
            <v>0</v>
          </cell>
        </row>
      </sheetData>
      <sheetData sheetId="1130">
        <row r="1">
          <cell r="B1">
            <v>0</v>
          </cell>
        </row>
      </sheetData>
      <sheetData sheetId="1131">
        <row r="1">
          <cell r="B1">
            <v>0</v>
          </cell>
        </row>
      </sheetData>
      <sheetData sheetId="1132">
        <row r="1">
          <cell r="B1">
            <v>0</v>
          </cell>
        </row>
      </sheetData>
      <sheetData sheetId="1133">
        <row r="1">
          <cell r="B1">
            <v>0</v>
          </cell>
        </row>
      </sheetData>
      <sheetData sheetId="1134">
        <row r="1">
          <cell r="B1">
            <v>0</v>
          </cell>
        </row>
      </sheetData>
      <sheetData sheetId="1135">
        <row r="1">
          <cell r="B1">
            <v>0</v>
          </cell>
        </row>
      </sheetData>
      <sheetData sheetId="1136">
        <row r="1">
          <cell r="B1">
            <v>0</v>
          </cell>
        </row>
      </sheetData>
      <sheetData sheetId="1137">
        <row r="1">
          <cell r="B1">
            <v>0</v>
          </cell>
        </row>
      </sheetData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>
        <row r="1">
          <cell r="B1">
            <v>0</v>
          </cell>
        </row>
      </sheetData>
      <sheetData sheetId="1142">
        <row r="1">
          <cell r="B1">
            <v>0</v>
          </cell>
        </row>
      </sheetData>
      <sheetData sheetId="1143">
        <row r="1">
          <cell r="B1">
            <v>0</v>
          </cell>
        </row>
      </sheetData>
      <sheetData sheetId="1144">
        <row r="1">
          <cell r="B1">
            <v>0</v>
          </cell>
        </row>
      </sheetData>
      <sheetData sheetId="1145">
        <row r="1">
          <cell r="B1">
            <v>0</v>
          </cell>
        </row>
      </sheetData>
      <sheetData sheetId="1146">
        <row r="1">
          <cell r="B1">
            <v>0</v>
          </cell>
        </row>
      </sheetData>
      <sheetData sheetId="1147">
        <row r="1">
          <cell r="B1">
            <v>0</v>
          </cell>
        </row>
      </sheetData>
      <sheetData sheetId="1148">
        <row r="1">
          <cell r="B1">
            <v>0</v>
          </cell>
        </row>
      </sheetData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>
        <row r="1">
          <cell r="B1">
            <v>0</v>
          </cell>
        </row>
      </sheetData>
      <sheetData sheetId="1153">
        <row r="1">
          <cell r="B1">
            <v>0</v>
          </cell>
        </row>
      </sheetData>
      <sheetData sheetId="1154">
        <row r="1">
          <cell r="B1">
            <v>0</v>
          </cell>
        </row>
      </sheetData>
      <sheetData sheetId="1155">
        <row r="1">
          <cell r="B1">
            <v>0</v>
          </cell>
        </row>
      </sheetData>
      <sheetData sheetId="1156">
        <row r="1">
          <cell r="B1">
            <v>0</v>
          </cell>
        </row>
      </sheetData>
      <sheetData sheetId="1157">
        <row r="1">
          <cell r="B1">
            <v>0</v>
          </cell>
        </row>
      </sheetData>
      <sheetData sheetId="1158">
        <row r="1">
          <cell r="B1">
            <v>0</v>
          </cell>
        </row>
      </sheetData>
      <sheetData sheetId="1159">
        <row r="1">
          <cell r="B1">
            <v>0</v>
          </cell>
        </row>
      </sheetData>
      <sheetData sheetId="1160">
        <row r="1">
          <cell r="B1">
            <v>0</v>
          </cell>
        </row>
      </sheetData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>
        <row r="1">
          <cell r="B1">
            <v>0</v>
          </cell>
        </row>
      </sheetData>
      <sheetData sheetId="1164">
        <row r="1">
          <cell r="B1">
            <v>0</v>
          </cell>
        </row>
      </sheetData>
      <sheetData sheetId="1165">
        <row r="1">
          <cell r="B1">
            <v>0</v>
          </cell>
        </row>
      </sheetData>
      <sheetData sheetId="1166">
        <row r="1">
          <cell r="B1">
            <v>0</v>
          </cell>
        </row>
      </sheetData>
      <sheetData sheetId="1167">
        <row r="1">
          <cell r="B1">
            <v>0</v>
          </cell>
        </row>
      </sheetData>
      <sheetData sheetId="1168">
        <row r="1">
          <cell r="B1">
            <v>0</v>
          </cell>
        </row>
      </sheetData>
      <sheetData sheetId="1169">
        <row r="1">
          <cell r="B1">
            <v>0</v>
          </cell>
        </row>
      </sheetData>
      <sheetData sheetId="1170">
        <row r="1">
          <cell r="B1">
            <v>0</v>
          </cell>
        </row>
      </sheetData>
      <sheetData sheetId="1171">
        <row r="1">
          <cell r="B1">
            <v>0</v>
          </cell>
        </row>
      </sheetData>
      <sheetData sheetId="1172">
        <row r="1">
          <cell r="B1">
            <v>0</v>
          </cell>
        </row>
      </sheetData>
      <sheetData sheetId="1173">
        <row r="1">
          <cell r="B1">
            <v>0</v>
          </cell>
        </row>
      </sheetData>
      <sheetData sheetId="1174">
        <row r="1">
          <cell r="B1">
            <v>0</v>
          </cell>
        </row>
      </sheetData>
      <sheetData sheetId="1175">
        <row r="1">
          <cell r="B1">
            <v>0</v>
          </cell>
        </row>
      </sheetData>
      <sheetData sheetId="1176">
        <row r="1">
          <cell r="B1">
            <v>0</v>
          </cell>
        </row>
      </sheetData>
      <sheetData sheetId="1177">
        <row r="1">
          <cell r="B1">
            <v>0</v>
          </cell>
        </row>
      </sheetData>
      <sheetData sheetId="1178">
        <row r="1">
          <cell r="B1">
            <v>0</v>
          </cell>
        </row>
      </sheetData>
      <sheetData sheetId="1179">
        <row r="1">
          <cell r="B1">
            <v>0</v>
          </cell>
        </row>
      </sheetData>
      <sheetData sheetId="1180">
        <row r="1">
          <cell r="B1">
            <v>0</v>
          </cell>
        </row>
      </sheetData>
      <sheetData sheetId="1181">
        <row r="1">
          <cell r="B1">
            <v>0</v>
          </cell>
        </row>
      </sheetData>
      <sheetData sheetId="1182">
        <row r="1">
          <cell r="B1">
            <v>0</v>
          </cell>
        </row>
      </sheetData>
      <sheetData sheetId="1183">
        <row r="1">
          <cell r="B1">
            <v>0</v>
          </cell>
        </row>
      </sheetData>
      <sheetData sheetId="1184">
        <row r="1">
          <cell r="B1">
            <v>0</v>
          </cell>
        </row>
      </sheetData>
      <sheetData sheetId="1185">
        <row r="1">
          <cell r="B1">
            <v>0</v>
          </cell>
        </row>
      </sheetData>
      <sheetData sheetId="1186">
        <row r="1">
          <cell r="B1">
            <v>0</v>
          </cell>
        </row>
      </sheetData>
      <sheetData sheetId="1187">
        <row r="1">
          <cell r="B1">
            <v>0</v>
          </cell>
        </row>
      </sheetData>
      <sheetData sheetId="1188">
        <row r="1">
          <cell r="B1">
            <v>0</v>
          </cell>
        </row>
      </sheetData>
      <sheetData sheetId="1189">
        <row r="1">
          <cell r="B1">
            <v>0</v>
          </cell>
        </row>
      </sheetData>
      <sheetData sheetId="1190">
        <row r="1">
          <cell r="B1">
            <v>0</v>
          </cell>
        </row>
      </sheetData>
      <sheetData sheetId="1191">
        <row r="1">
          <cell r="B1">
            <v>0</v>
          </cell>
        </row>
      </sheetData>
      <sheetData sheetId="1192">
        <row r="1">
          <cell r="B1">
            <v>0</v>
          </cell>
        </row>
      </sheetData>
      <sheetData sheetId="1193">
        <row r="1">
          <cell r="B1">
            <v>0</v>
          </cell>
        </row>
      </sheetData>
      <sheetData sheetId="1194">
        <row r="1">
          <cell r="B1">
            <v>0</v>
          </cell>
        </row>
      </sheetData>
      <sheetData sheetId="1195">
        <row r="1">
          <cell r="B1">
            <v>0</v>
          </cell>
        </row>
      </sheetData>
      <sheetData sheetId="1196">
        <row r="1">
          <cell r="B1">
            <v>0</v>
          </cell>
        </row>
      </sheetData>
      <sheetData sheetId="1197">
        <row r="1">
          <cell r="B1">
            <v>0</v>
          </cell>
        </row>
      </sheetData>
      <sheetData sheetId="1198">
        <row r="1">
          <cell r="B1">
            <v>0</v>
          </cell>
        </row>
      </sheetData>
      <sheetData sheetId="1199">
        <row r="1">
          <cell r="B1">
            <v>0</v>
          </cell>
        </row>
      </sheetData>
      <sheetData sheetId="1200">
        <row r="1">
          <cell r="B1">
            <v>0</v>
          </cell>
        </row>
      </sheetData>
      <sheetData sheetId="1201">
        <row r="1">
          <cell r="B1">
            <v>0</v>
          </cell>
        </row>
      </sheetData>
      <sheetData sheetId="1202">
        <row r="1">
          <cell r="B1">
            <v>0</v>
          </cell>
        </row>
      </sheetData>
      <sheetData sheetId="1203">
        <row r="1">
          <cell r="B1">
            <v>0</v>
          </cell>
        </row>
      </sheetData>
      <sheetData sheetId="1204">
        <row r="1">
          <cell r="B1">
            <v>0</v>
          </cell>
        </row>
      </sheetData>
      <sheetData sheetId="1205">
        <row r="1">
          <cell r="B1">
            <v>0</v>
          </cell>
        </row>
      </sheetData>
      <sheetData sheetId="1206">
        <row r="1">
          <cell r="B1">
            <v>0</v>
          </cell>
        </row>
      </sheetData>
      <sheetData sheetId="1207">
        <row r="1">
          <cell r="B1">
            <v>0</v>
          </cell>
        </row>
      </sheetData>
      <sheetData sheetId="1208">
        <row r="1">
          <cell r="B1">
            <v>0</v>
          </cell>
        </row>
      </sheetData>
      <sheetData sheetId="1209">
        <row r="1">
          <cell r="B1">
            <v>0</v>
          </cell>
        </row>
      </sheetData>
      <sheetData sheetId="1210">
        <row r="1">
          <cell r="B1">
            <v>0</v>
          </cell>
        </row>
      </sheetData>
      <sheetData sheetId="1211">
        <row r="1">
          <cell r="B1">
            <v>0</v>
          </cell>
        </row>
      </sheetData>
      <sheetData sheetId="1212">
        <row r="1">
          <cell r="B1">
            <v>0</v>
          </cell>
        </row>
      </sheetData>
      <sheetData sheetId="1213">
        <row r="1">
          <cell r="B1">
            <v>0</v>
          </cell>
        </row>
      </sheetData>
      <sheetData sheetId="1214">
        <row r="1">
          <cell r="B1">
            <v>0</v>
          </cell>
        </row>
      </sheetData>
      <sheetData sheetId="1215">
        <row r="1">
          <cell r="B1">
            <v>0</v>
          </cell>
        </row>
      </sheetData>
      <sheetData sheetId="1216">
        <row r="1">
          <cell r="B1">
            <v>0</v>
          </cell>
        </row>
      </sheetData>
      <sheetData sheetId="1217">
        <row r="1">
          <cell r="B1">
            <v>0</v>
          </cell>
        </row>
      </sheetData>
      <sheetData sheetId="1218">
        <row r="1">
          <cell r="B1">
            <v>0</v>
          </cell>
        </row>
      </sheetData>
      <sheetData sheetId="1219">
        <row r="1">
          <cell r="B1">
            <v>0</v>
          </cell>
        </row>
      </sheetData>
      <sheetData sheetId="1220">
        <row r="1">
          <cell r="B1">
            <v>0</v>
          </cell>
        </row>
      </sheetData>
      <sheetData sheetId="1221">
        <row r="1">
          <cell r="B1">
            <v>0</v>
          </cell>
        </row>
      </sheetData>
      <sheetData sheetId="1222">
        <row r="1">
          <cell r="B1">
            <v>0</v>
          </cell>
        </row>
      </sheetData>
      <sheetData sheetId="1223">
        <row r="1">
          <cell r="B1">
            <v>0</v>
          </cell>
        </row>
      </sheetData>
      <sheetData sheetId="1224">
        <row r="1">
          <cell r="B1">
            <v>0</v>
          </cell>
        </row>
      </sheetData>
      <sheetData sheetId="1225">
        <row r="1">
          <cell r="B1">
            <v>0</v>
          </cell>
        </row>
      </sheetData>
      <sheetData sheetId="1226">
        <row r="1">
          <cell r="B1">
            <v>0</v>
          </cell>
        </row>
      </sheetData>
      <sheetData sheetId="1227">
        <row r="1">
          <cell r="B1">
            <v>0</v>
          </cell>
        </row>
      </sheetData>
      <sheetData sheetId="1228">
        <row r="1">
          <cell r="B1">
            <v>0</v>
          </cell>
        </row>
      </sheetData>
      <sheetData sheetId="1229">
        <row r="1">
          <cell r="B1">
            <v>0</v>
          </cell>
        </row>
      </sheetData>
      <sheetData sheetId="1230">
        <row r="1">
          <cell r="B1">
            <v>0</v>
          </cell>
        </row>
      </sheetData>
      <sheetData sheetId="1231" refreshError="1"/>
      <sheetData sheetId="1232">
        <row r="1">
          <cell r="B1">
            <v>0</v>
          </cell>
        </row>
      </sheetData>
      <sheetData sheetId="1233">
        <row r="1">
          <cell r="B1">
            <v>0</v>
          </cell>
        </row>
      </sheetData>
      <sheetData sheetId="1234">
        <row r="1">
          <cell r="B1">
            <v>0</v>
          </cell>
        </row>
      </sheetData>
      <sheetData sheetId="1235">
        <row r="1">
          <cell r="B1">
            <v>0</v>
          </cell>
        </row>
      </sheetData>
      <sheetData sheetId="1236">
        <row r="1">
          <cell r="B1">
            <v>0</v>
          </cell>
        </row>
      </sheetData>
      <sheetData sheetId="1237">
        <row r="1">
          <cell r="B1">
            <v>0</v>
          </cell>
        </row>
      </sheetData>
      <sheetData sheetId="1238">
        <row r="1">
          <cell r="B1">
            <v>0</v>
          </cell>
        </row>
      </sheetData>
      <sheetData sheetId="1239">
        <row r="1">
          <cell r="B1">
            <v>0</v>
          </cell>
        </row>
      </sheetData>
      <sheetData sheetId="1240">
        <row r="1">
          <cell r="B1">
            <v>0</v>
          </cell>
        </row>
      </sheetData>
      <sheetData sheetId="1241">
        <row r="1">
          <cell r="B1">
            <v>0</v>
          </cell>
        </row>
      </sheetData>
      <sheetData sheetId="1242">
        <row r="1">
          <cell r="B1">
            <v>0</v>
          </cell>
        </row>
      </sheetData>
      <sheetData sheetId="1243">
        <row r="1">
          <cell r="B1">
            <v>0</v>
          </cell>
        </row>
      </sheetData>
      <sheetData sheetId="1244">
        <row r="1">
          <cell r="B1">
            <v>0</v>
          </cell>
        </row>
      </sheetData>
      <sheetData sheetId="1245" refreshError="1"/>
      <sheetData sheetId="1246">
        <row r="1">
          <cell r="B1">
            <v>0</v>
          </cell>
        </row>
      </sheetData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>
        <row r="1">
          <cell r="B1">
            <v>0</v>
          </cell>
        </row>
      </sheetData>
      <sheetData sheetId="1266">
        <row r="1">
          <cell r="B1">
            <v>0</v>
          </cell>
        </row>
      </sheetData>
      <sheetData sheetId="1267" refreshError="1"/>
      <sheetData sheetId="1268">
        <row r="1">
          <cell r="B1">
            <v>0</v>
          </cell>
        </row>
      </sheetData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>
        <row r="1">
          <cell r="B1">
            <v>0</v>
          </cell>
        </row>
      </sheetData>
      <sheetData sheetId="1289">
        <row r="1">
          <cell r="B1">
            <v>0</v>
          </cell>
        </row>
      </sheetData>
      <sheetData sheetId="1290">
        <row r="1">
          <cell r="B1">
            <v>0</v>
          </cell>
        </row>
      </sheetData>
      <sheetData sheetId="1291">
        <row r="1">
          <cell r="B1">
            <v>0</v>
          </cell>
        </row>
      </sheetData>
      <sheetData sheetId="1292">
        <row r="1">
          <cell r="B1">
            <v>0</v>
          </cell>
        </row>
      </sheetData>
      <sheetData sheetId="1293">
        <row r="1">
          <cell r="B1">
            <v>0</v>
          </cell>
        </row>
      </sheetData>
      <sheetData sheetId="1294" refreshError="1"/>
      <sheetData sheetId="1295">
        <row r="1">
          <cell r="B1">
            <v>0</v>
          </cell>
        </row>
      </sheetData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>
        <row r="1">
          <cell r="B1">
            <v>0</v>
          </cell>
        </row>
      </sheetData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>
        <row r="1">
          <cell r="B1">
            <v>0</v>
          </cell>
        </row>
      </sheetData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>
        <row r="1">
          <cell r="B1">
            <v>0</v>
          </cell>
        </row>
      </sheetData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/>
      <sheetData sheetId="1857"/>
      <sheetData sheetId="1858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/>
      <sheetData sheetId="1889"/>
      <sheetData sheetId="189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"/>
      <sheetName val="свод 3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графия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OCK1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Объемы работ по ПВ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информация"/>
      <sheetName val="Приложение 2"/>
      <sheetName val="ИД1"/>
      <sheetName val="ЭХЗ"/>
      <sheetName val="Должности"/>
      <sheetName val="Смета-Т"/>
      <sheetName val="ID"/>
      <sheetName val="Настройка"/>
      <sheetName val="BACT"/>
      <sheetName val="База Геодезия"/>
      <sheetName val="База Геология"/>
      <sheetName val="6"/>
      <sheetName val="5.1"/>
      <sheetName val="СП"/>
      <sheetName val="ОДД (стр-во+экспл.)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L190"/>
  <sheetViews>
    <sheetView view="pageBreakPreview" topLeftCell="A79" zoomScaleNormal="100" zoomScaleSheetLayoutView="100" workbookViewId="0">
      <selection activeCell="E156" sqref="E156"/>
    </sheetView>
  </sheetViews>
  <sheetFormatPr defaultColWidth="9.140625" defaultRowHeight="15" outlineLevelCol="1" x14ac:dyDescent="0.25"/>
  <cols>
    <col min="1" max="1" width="35.85546875" style="311" customWidth="1"/>
    <col min="2" max="2" width="17.140625" style="311" customWidth="1"/>
    <col min="3" max="3" width="12.5703125" style="311" customWidth="1"/>
    <col min="4" max="4" width="20.140625" style="311" customWidth="1"/>
    <col min="5" max="5" width="19.5703125" style="311" customWidth="1"/>
    <col min="6" max="7" width="19.5703125" style="311" hidden="1" customWidth="1" outlineLevel="1"/>
    <col min="8" max="8" width="20.140625" style="667" customWidth="1" collapsed="1"/>
    <col min="9" max="9" width="22.85546875" style="311" customWidth="1"/>
    <col min="10" max="10" width="16.5703125" style="311" customWidth="1"/>
    <col min="11" max="11" width="10.7109375" style="311" customWidth="1"/>
    <col min="12" max="16384" width="9.140625" style="311"/>
  </cols>
  <sheetData>
    <row r="1" spans="1:9" ht="18.75" x14ac:dyDescent="0.25">
      <c r="A1" s="704" t="s">
        <v>473</v>
      </c>
      <c r="B1" s="704"/>
      <c r="C1" s="704"/>
      <c r="D1" s="704"/>
      <c r="E1" s="704"/>
      <c r="F1" s="704"/>
      <c r="G1" s="704"/>
      <c r="H1" s="704"/>
    </row>
    <row r="2" spans="1:9" x14ac:dyDescent="0.25">
      <c r="A2" s="704" t="s">
        <v>474</v>
      </c>
      <c r="B2" s="705"/>
      <c r="C2" s="705"/>
      <c r="D2" s="705"/>
      <c r="E2" s="705"/>
      <c r="F2" s="705"/>
      <c r="G2" s="705"/>
      <c r="H2" s="705"/>
      <c r="I2" s="566"/>
    </row>
    <row r="3" spans="1:9" ht="38.25" customHeight="1" x14ac:dyDescent="0.25">
      <c r="A3" s="706" t="s">
        <v>758</v>
      </c>
      <c r="B3" s="706"/>
      <c r="C3" s="706"/>
      <c r="D3" s="706"/>
      <c r="E3" s="706"/>
      <c r="F3" s="706"/>
      <c r="G3" s="706"/>
      <c r="H3" s="706"/>
    </row>
    <row r="4" spans="1:9" ht="125.25" customHeight="1" x14ac:dyDescent="0.25">
      <c r="A4" s="707"/>
      <c r="B4" s="707"/>
      <c r="C4" s="707"/>
      <c r="D4" s="707"/>
      <c r="E4" s="707"/>
      <c r="F4" s="707"/>
      <c r="G4" s="707"/>
      <c r="H4" s="707"/>
    </row>
    <row r="5" spans="1:9" s="334" customFormat="1" ht="17.25" customHeight="1" x14ac:dyDescent="0.2">
      <c r="A5" s="708" t="s">
        <v>684</v>
      </c>
      <c r="B5" s="709"/>
      <c r="C5" s="709"/>
      <c r="D5" s="709"/>
      <c r="E5" s="709"/>
      <c r="F5" s="709"/>
      <c r="G5" s="709"/>
      <c r="H5" s="709"/>
    </row>
    <row r="6" spans="1:9" s="334" customFormat="1" ht="17.25" customHeight="1" x14ac:dyDescent="0.35">
      <c r="A6" s="692" t="s">
        <v>759</v>
      </c>
      <c r="B6" s="693"/>
      <c r="C6" s="693"/>
      <c r="D6" s="693"/>
      <c r="E6" s="693"/>
      <c r="F6" s="693"/>
      <c r="G6" s="693"/>
      <c r="H6" s="693"/>
      <c r="I6" s="598"/>
    </row>
    <row r="7" spans="1:9" s="334" customFormat="1" ht="17.25" customHeight="1" x14ac:dyDescent="0.2">
      <c r="A7" s="542" t="s">
        <v>760</v>
      </c>
      <c r="B7" s="641"/>
      <c r="C7" s="641"/>
      <c r="D7" s="641"/>
      <c r="E7" s="641"/>
      <c r="F7" s="641"/>
      <c r="G7" s="641"/>
      <c r="H7" s="646"/>
    </row>
    <row r="8" spans="1:9" s="541" customFormat="1" ht="17.25" customHeight="1" x14ac:dyDescent="0.2">
      <c r="A8" s="702" t="s">
        <v>761</v>
      </c>
      <c r="B8" s="703"/>
      <c r="C8" s="703"/>
      <c r="D8" s="703"/>
      <c r="E8" s="703"/>
      <c r="F8" s="703"/>
      <c r="G8" s="703"/>
      <c r="H8" s="703"/>
    </row>
    <row r="9" spans="1:9" s="334" customFormat="1" ht="17.25" customHeight="1" x14ac:dyDescent="0.2">
      <c r="A9" s="692" t="s">
        <v>681</v>
      </c>
      <c r="B9" s="693"/>
      <c r="C9" s="693"/>
      <c r="D9" s="693"/>
      <c r="E9" s="693"/>
      <c r="F9" s="693"/>
      <c r="G9" s="693"/>
      <c r="H9" s="693"/>
    </row>
    <row r="10" spans="1:9" s="334" customFormat="1" ht="17.25" customHeight="1" x14ac:dyDescent="0.2">
      <c r="A10" s="692" t="s">
        <v>682</v>
      </c>
      <c r="B10" s="693"/>
      <c r="C10" s="693"/>
      <c r="D10" s="693"/>
      <c r="E10" s="693"/>
      <c r="F10" s="693"/>
      <c r="G10" s="693"/>
      <c r="H10" s="693"/>
    </row>
    <row r="11" spans="1:9" s="334" customFormat="1" ht="17.25" customHeight="1" x14ac:dyDescent="0.2">
      <c r="A11" s="692" t="s">
        <v>683</v>
      </c>
      <c r="B11" s="693"/>
      <c r="C11" s="693"/>
      <c r="D11" s="693"/>
      <c r="E11" s="693"/>
      <c r="F11" s="693"/>
      <c r="G11" s="693"/>
      <c r="H11" s="693"/>
    </row>
    <row r="12" spans="1:9" s="541" customFormat="1" ht="15" customHeight="1" x14ac:dyDescent="0.2">
      <c r="A12" s="643" t="s">
        <v>762</v>
      </c>
      <c r="B12" s="644"/>
      <c r="C12" s="644"/>
      <c r="D12" s="644"/>
      <c r="E12" s="644"/>
      <c r="F12" s="644"/>
      <c r="G12" s="644"/>
      <c r="H12" s="647"/>
    </row>
    <row r="13" spans="1:9" s="334" customFormat="1" ht="17.25" customHeight="1" x14ac:dyDescent="0.2">
      <c r="A13" s="692" t="s">
        <v>768</v>
      </c>
      <c r="B13" s="693"/>
      <c r="C13" s="693"/>
      <c r="D13" s="693"/>
      <c r="E13" s="693"/>
      <c r="F13" s="693"/>
      <c r="G13" s="693"/>
      <c r="H13" s="693"/>
    </row>
    <row r="14" spans="1:9" s="334" customFormat="1" ht="17.25" customHeight="1" x14ac:dyDescent="0.2">
      <c r="A14" s="692" t="s">
        <v>768</v>
      </c>
      <c r="B14" s="693"/>
      <c r="C14" s="693"/>
      <c r="D14" s="693"/>
      <c r="E14" s="693"/>
      <c r="F14" s="693"/>
      <c r="G14" s="693"/>
      <c r="H14" s="693"/>
    </row>
    <row r="15" spans="1:9" s="334" customFormat="1" ht="17.25" customHeight="1" x14ac:dyDescent="0.2">
      <c r="A15" s="692" t="s">
        <v>768</v>
      </c>
      <c r="B15" s="693"/>
      <c r="C15" s="693"/>
      <c r="D15" s="693"/>
      <c r="E15" s="693"/>
      <c r="F15" s="693"/>
      <c r="G15" s="693"/>
      <c r="H15" s="693"/>
    </row>
    <row r="16" spans="1:9" s="334" customFormat="1" ht="17.25" customHeight="1" x14ac:dyDescent="0.2">
      <c r="A16" s="692" t="s">
        <v>768</v>
      </c>
      <c r="B16" s="693"/>
      <c r="C16" s="693"/>
      <c r="D16" s="693"/>
      <c r="E16" s="693"/>
      <c r="F16" s="693"/>
      <c r="G16" s="693"/>
      <c r="H16" s="693"/>
    </row>
    <row r="17" spans="1:10" s="334" customFormat="1" ht="17.25" customHeight="1" x14ac:dyDescent="0.2">
      <c r="A17" s="692" t="s">
        <v>768</v>
      </c>
      <c r="B17" s="693"/>
      <c r="C17" s="693"/>
      <c r="D17" s="693"/>
      <c r="E17" s="693"/>
      <c r="F17" s="693"/>
      <c r="G17" s="693"/>
      <c r="H17" s="693"/>
    </row>
    <row r="18" spans="1:10" s="334" customFormat="1" ht="17.25" customHeight="1" x14ac:dyDescent="0.2">
      <c r="A18" s="692" t="s">
        <v>768</v>
      </c>
      <c r="B18" s="693"/>
      <c r="C18" s="693"/>
      <c r="D18" s="693"/>
      <c r="E18" s="693"/>
      <c r="F18" s="693"/>
      <c r="G18" s="693"/>
      <c r="H18" s="693"/>
    </row>
    <row r="19" spans="1:10" s="334" customFormat="1" ht="17.25" customHeight="1" x14ac:dyDescent="0.2">
      <c r="A19" s="692" t="s">
        <v>768</v>
      </c>
      <c r="B19" s="693"/>
      <c r="C19" s="693"/>
      <c r="D19" s="693"/>
      <c r="E19" s="693"/>
      <c r="F19" s="693"/>
      <c r="G19" s="693"/>
      <c r="H19" s="693"/>
    </row>
    <row r="20" spans="1:10" s="334" customFormat="1" ht="17.25" customHeight="1" x14ac:dyDescent="0.2">
      <c r="A20" s="692" t="s">
        <v>768</v>
      </c>
      <c r="B20" s="693"/>
      <c r="C20" s="693"/>
      <c r="D20" s="693"/>
      <c r="E20" s="693"/>
      <c r="F20" s="693"/>
      <c r="G20" s="693"/>
      <c r="H20" s="693"/>
    </row>
    <row r="21" spans="1:10" s="334" customFormat="1" ht="17.25" customHeight="1" x14ac:dyDescent="0.2">
      <c r="A21" s="692" t="s">
        <v>768</v>
      </c>
      <c r="B21" s="693"/>
      <c r="C21" s="693"/>
      <c r="D21" s="693"/>
      <c r="E21" s="693"/>
      <c r="F21" s="693"/>
      <c r="G21" s="693"/>
      <c r="H21" s="693"/>
    </row>
    <row r="22" spans="1:10" s="334" customFormat="1" ht="17.25" customHeight="1" x14ac:dyDescent="0.2">
      <c r="A22" s="692" t="s">
        <v>768</v>
      </c>
      <c r="B22" s="693"/>
      <c r="C22" s="693"/>
      <c r="D22" s="693"/>
      <c r="E22" s="693"/>
      <c r="F22" s="693"/>
      <c r="G22" s="693"/>
      <c r="H22" s="693"/>
    </row>
    <row r="23" spans="1:10" s="334" customFormat="1" ht="17.25" customHeight="1" x14ac:dyDescent="0.2">
      <c r="A23" s="640"/>
      <c r="B23" s="641"/>
      <c r="C23" s="641"/>
      <c r="D23" s="641"/>
      <c r="E23" s="641"/>
      <c r="F23" s="641"/>
      <c r="G23" s="641"/>
      <c r="H23" s="646"/>
    </row>
    <row r="24" spans="1:10" ht="33.75" customHeight="1" x14ac:dyDescent="0.25">
      <c r="A24" s="697" t="s">
        <v>767</v>
      </c>
      <c r="B24" s="698"/>
      <c r="C24" s="698"/>
      <c r="D24" s="698"/>
      <c r="E24" s="698"/>
      <c r="F24" s="698"/>
      <c r="G24" s="698"/>
      <c r="H24" s="698"/>
      <c r="I24" s="312"/>
      <c r="J24" s="312"/>
    </row>
    <row r="25" spans="1:10" ht="123.75" customHeight="1" x14ac:dyDescent="0.25">
      <c r="A25" s="314" t="s">
        <v>475</v>
      </c>
      <c r="B25" s="314" t="s">
        <v>749</v>
      </c>
      <c r="C25" s="314" t="s">
        <v>476</v>
      </c>
      <c r="D25" s="314" t="s">
        <v>746</v>
      </c>
      <c r="E25" s="314" t="s">
        <v>477</v>
      </c>
      <c r="F25" s="314" t="s">
        <v>478</v>
      </c>
      <c r="G25" s="315">
        <v>0.05</v>
      </c>
      <c r="H25" s="648" t="s">
        <v>478</v>
      </c>
      <c r="I25" s="312"/>
      <c r="J25" s="312"/>
    </row>
    <row r="26" spans="1:10" s="500" customFormat="1" ht="54.75" customHeight="1" x14ac:dyDescent="0.25">
      <c r="A26" s="318" t="s">
        <v>716</v>
      </c>
      <c r="B26" s="497"/>
      <c r="C26" s="497"/>
      <c r="D26" s="319" t="e">
        <f>D28+D27</f>
        <v>#REF!</v>
      </c>
      <c r="E26" s="497"/>
      <c r="F26" s="319" t="e">
        <f>F28+F27</f>
        <v>#REF!</v>
      </c>
      <c r="G26" s="497"/>
      <c r="H26" s="649" t="e">
        <f>H28+H27</f>
        <v>#REF!</v>
      </c>
      <c r="I26" s="499"/>
      <c r="J26" s="499"/>
    </row>
    <row r="27" spans="1:10" s="339" customFormat="1" ht="37.5" customHeight="1" x14ac:dyDescent="0.25">
      <c r="A27" s="335" t="s">
        <v>480</v>
      </c>
      <c r="B27" s="341"/>
      <c r="C27" s="341"/>
      <c r="D27" s="336" t="e">
        <f>'расчет 2 эт ПИР'!C10</f>
        <v>#REF!</v>
      </c>
      <c r="E27" s="337">
        <v>1</v>
      </c>
      <c r="F27" s="336" t="e">
        <f>ROUND(D27*E27,0)</f>
        <v>#REF!</v>
      </c>
      <c r="G27" s="337"/>
      <c r="H27" s="650" t="e">
        <f>ROUND(D27*E27,2)</f>
        <v>#REF!</v>
      </c>
      <c r="I27" s="338"/>
      <c r="J27" s="338"/>
    </row>
    <row r="28" spans="1:10" s="339" customFormat="1" ht="30.75" customHeight="1" x14ac:dyDescent="0.25">
      <c r="A28" s="335" t="s">
        <v>710</v>
      </c>
      <c r="B28" s="341"/>
      <c r="C28" s="341"/>
      <c r="D28" s="336" t="e">
        <f>'расчет 2 эт ПИР'!C11</f>
        <v>#REF!</v>
      </c>
      <c r="E28" s="337">
        <v>1</v>
      </c>
      <c r="F28" s="336" t="e">
        <f>ROUND(D28*E28,0)</f>
        <v>#REF!</v>
      </c>
      <c r="G28" s="337"/>
      <c r="H28" s="650" t="e">
        <f>ROUND(D28*E28,2)</f>
        <v>#REF!</v>
      </c>
      <c r="I28" s="338"/>
      <c r="J28" s="338"/>
    </row>
    <row r="29" spans="1:10" s="500" customFormat="1" ht="21" customHeight="1" x14ac:dyDescent="0.25">
      <c r="A29" s="318" t="s">
        <v>718</v>
      </c>
      <c r="B29" s="497"/>
      <c r="C29" s="501"/>
      <c r="D29" s="319" t="e">
        <f>ROUND(D28*0.0265,2)</f>
        <v>#REF!</v>
      </c>
      <c r="E29" s="501">
        <v>1</v>
      </c>
      <c r="F29" s="319" t="e">
        <f>ROUND(D29*E29,0)</f>
        <v>#REF!</v>
      </c>
      <c r="G29" s="502"/>
      <c r="H29" s="649" t="e">
        <f>ROUND(D29*E29,2)</f>
        <v>#REF!</v>
      </c>
      <c r="I29" s="499"/>
      <c r="J29" s="499"/>
    </row>
    <row r="30" spans="1:10" s="500" customFormat="1" ht="28.5" x14ac:dyDescent="0.25">
      <c r="A30" s="318" t="s">
        <v>719</v>
      </c>
      <c r="B30" s="497"/>
      <c r="C30" s="501"/>
      <c r="D30" s="319"/>
      <c r="E30" s="501"/>
      <c r="F30" s="319"/>
      <c r="G30" s="502"/>
      <c r="H30" s="649" t="e">
        <f>ROUND((H31)*0.0015,2)-0.14</f>
        <v>#REF!</v>
      </c>
      <c r="I30" s="499"/>
      <c r="J30" s="499"/>
    </row>
    <row r="31" spans="1:10" s="500" customFormat="1" ht="46.5" customHeight="1" x14ac:dyDescent="0.25">
      <c r="A31" s="318" t="s">
        <v>717</v>
      </c>
      <c r="B31" s="319" t="e">
        <f>B32+B33+B34</f>
        <v>#REF!</v>
      </c>
      <c r="C31" s="497"/>
      <c r="D31" s="319" t="e">
        <f>D32+D33+D34</f>
        <v>#REF!</v>
      </c>
      <c r="E31" s="497"/>
      <c r="F31" s="319" t="e">
        <f>F32+F33+F34</f>
        <v>#REF!</v>
      </c>
      <c r="G31" s="497"/>
      <c r="H31" s="649" t="e">
        <f>H32+H33+H34</f>
        <v>#REF!</v>
      </c>
      <c r="I31" s="618"/>
      <c r="J31" s="499"/>
    </row>
    <row r="32" spans="1:10" s="339" customFormat="1" ht="64.5" customHeight="1" x14ac:dyDescent="0.25">
      <c r="A32" s="335" t="s">
        <v>757</v>
      </c>
      <c r="B32" s="336" t="e">
        <f>#REF!*1000</f>
        <v>#REF!</v>
      </c>
      <c r="C32" s="475">
        <f>I47</f>
        <v>1.0264</v>
      </c>
      <c r="D32" s="336" t="e">
        <f>ROUND(B32*C32,0)</f>
        <v>#REF!</v>
      </c>
      <c r="E32" s="340">
        <f>I61</f>
        <v>1.0295000000000001</v>
      </c>
      <c r="F32" s="336" t="e">
        <f>ROUND(D32*E32,0)</f>
        <v>#REF!</v>
      </c>
      <c r="G32" s="336" t="e">
        <f t="shared" ref="G32:G33" si="0">ROUND(F32*0.05,0)</f>
        <v>#REF!</v>
      </c>
      <c r="H32" s="650" t="e">
        <f t="shared" ref="H32:H33" si="1">F32-G32</f>
        <v>#REF!</v>
      </c>
      <c r="I32" s="338"/>
      <c r="J32" s="338"/>
    </row>
    <row r="33" spans="1:10" s="339" customFormat="1" ht="25.5" customHeight="1" x14ac:dyDescent="0.25">
      <c r="A33" s="335" t="s">
        <v>481</v>
      </c>
      <c r="B33" s="336"/>
      <c r="C33" s="475"/>
      <c r="D33" s="336"/>
      <c r="E33" s="340"/>
      <c r="F33" s="336">
        <v>1282870</v>
      </c>
      <c r="G33" s="336">
        <f t="shared" si="0"/>
        <v>64144</v>
      </c>
      <c r="H33" s="650">
        <f t="shared" si="1"/>
        <v>1218726</v>
      </c>
      <c r="I33" s="338"/>
      <c r="J33" s="338"/>
    </row>
    <row r="34" spans="1:10" s="339" customFormat="1" ht="42" customHeight="1" x14ac:dyDescent="0.25">
      <c r="A34" s="335" t="s">
        <v>482</v>
      </c>
      <c r="B34" s="336"/>
      <c r="C34" s="475"/>
      <c r="D34" s="336"/>
      <c r="E34" s="337"/>
      <c r="F34" s="336"/>
      <c r="G34" s="336" t="e">
        <f>SUM(G32:G33)</f>
        <v>#REF!</v>
      </c>
      <c r="H34" s="650" t="e">
        <f>G34</f>
        <v>#REF!</v>
      </c>
      <c r="I34" s="338"/>
      <c r="J34" s="338"/>
    </row>
    <row r="35" spans="1:10" s="508" customFormat="1" ht="35.25" customHeight="1" x14ac:dyDescent="0.25">
      <c r="A35" s="503" t="s">
        <v>452</v>
      </c>
      <c r="B35" s="504" t="e">
        <f>B31+B29+B26+B30</f>
        <v>#REF!</v>
      </c>
      <c r="C35" s="512"/>
      <c r="D35" s="504" t="e">
        <f>D31+D29+D26+D30</f>
        <v>#REF!</v>
      </c>
      <c r="E35" s="506"/>
      <c r="F35" s="504" t="e">
        <f>F31+F29+F26+F30</f>
        <v>#REF!</v>
      </c>
      <c r="G35" s="504"/>
      <c r="H35" s="651" t="e">
        <f>H31+H29+H26+H30</f>
        <v>#REF!</v>
      </c>
      <c r="I35" s="507"/>
      <c r="J35" s="507"/>
    </row>
    <row r="36" spans="1:10" s="508" customFormat="1" ht="35.25" customHeight="1" x14ac:dyDescent="0.25">
      <c r="A36" s="503" t="s">
        <v>756</v>
      </c>
      <c r="B36" s="504"/>
      <c r="C36" s="512"/>
      <c r="D36" s="504"/>
      <c r="E36" s="506"/>
      <c r="F36" s="504"/>
      <c r="G36" s="504"/>
      <c r="H36" s="651" t="e">
        <f>ROUND(H35*0.976745,2)</f>
        <v>#REF!</v>
      </c>
      <c r="I36" s="507"/>
      <c r="J36" s="507"/>
    </row>
    <row r="37" spans="1:10" ht="35.25" customHeight="1" x14ac:dyDescent="0.25">
      <c r="A37" s="316" t="s">
        <v>46</v>
      </c>
      <c r="B37" s="317" t="e">
        <f>ROUND(B35*0.2,0)</f>
        <v>#REF!</v>
      </c>
      <c r="C37" s="476"/>
      <c r="D37" s="317" t="e">
        <f>ROUND(D35*0.2,0)</f>
        <v>#REF!</v>
      </c>
      <c r="E37" s="317"/>
      <c r="F37" s="317" t="e">
        <f>ROUND(F35*0.2,0)</f>
        <v>#REF!</v>
      </c>
      <c r="G37" s="317"/>
      <c r="H37" s="652" t="e">
        <f>ROUND(H36*0.2,2)</f>
        <v>#REF!</v>
      </c>
      <c r="I37" s="312"/>
      <c r="J37" s="312"/>
    </row>
    <row r="38" spans="1:10" s="508" customFormat="1" ht="35.25" customHeight="1" x14ac:dyDescent="0.25">
      <c r="A38" s="503" t="s">
        <v>479</v>
      </c>
      <c r="B38" s="504" t="e">
        <f>B35+B37</f>
        <v>#REF!</v>
      </c>
      <c r="C38" s="509"/>
      <c r="D38" s="504" t="e">
        <f>D35+D37</f>
        <v>#REF!</v>
      </c>
      <c r="E38" s="504"/>
      <c r="F38" s="504" t="e">
        <f>F35+F37</f>
        <v>#REF!</v>
      </c>
      <c r="G38" s="504"/>
      <c r="H38" s="651" t="e">
        <f>H36+H37</f>
        <v>#REF!</v>
      </c>
      <c r="I38" s="507"/>
      <c r="J38" s="507"/>
    </row>
    <row r="39" spans="1:10" s="508" customFormat="1" ht="21" customHeight="1" x14ac:dyDescent="0.25">
      <c r="A39" s="632" t="s">
        <v>763</v>
      </c>
      <c r="B39" s="633"/>
      <c r="C39" s="634"/>
      <c r="D39" s="633"/>
      <c r="E39" s="633"/>
      <c r="F39" s="633"/>
      <c r="G39" s="633"/>
      <c r="H39" s="645" t="e">
        <f>ROUND((H26+H30)*0.976745*1.2,2)</f>
        <v>#REF!</v>
      </c>
      <c r="I39" s="507"/>
      <c r="J39" s="507"/>
    </row>
    <row r="40" spans="1:10" s="508" customFormat="1" ht="21" customHeight="1" x14ac:dyDescent="0.25">
      <c r="A40" s="632" t="s">
        <v>764</v>
      </c>
      <c r="B40" s="633"/>
      <c r="C40" s="634"/>
      <c r="D40" s="633"/>
      <c r="E40" s="633"/>
      <c r="F40" s="633"/>
      <c r="G40" s="633"/>
      <c r="H40" s="645" t="e">
        <f>ROUND((H31+H29)*0.976745*1.2,2)-0.01</f>
        <v>#REF!</v>
      </c>
      <c r="I40" s="507"/>
      <c r="J40" s="507"/>
    </row>
    <row r="41" spans="1:10" s="508" customFormat="1" ht="21" customHeight="1" x14ac:dyDescent="0.25">
      <c r="A41" s="632"/>
      <c r="B41" s="633"/>
      <c r="C41" s="634"/>
      <c r="D41" s="633"/>
      <c r="E41" s="633"/>
      <c r="F41" s="633"/>
      <c r="G41" s="633"/>
      <c r="H41" s="645"/>
      <c r="I41" s="507"/>
      <c r="J41" s="507"/>
    </row>
    <row r="42" spans="1:10" s="508" customFormat="1" ht="21" customHeight="1" x14ac:dyDescent="0.25">
      <c r="A42" s="632"/>
      <c r="B42" s="633"/>
      <c r="C42" s="634"/>
      <c r="D42" s="633"/>
      <c r="E42" s="633"/>
      <c r="F42" s="633"/>
      <c r="G42" s="633"/>
      <c r="H42" s="645"/>
      <c r="I42" s="507"/>
      <c r="J42" s="507"/>
    </row>
    <row r="43" spans="1:10" s="508" customFormat="1" ht="21" customHeight="1" x14ac:dyDescent="0.25">
      <c r="A43" s="632"/>
      <c r="B43" s="633"/>
      <c r="C43" s="634"/>
      <c r="D43" s="633"/>
      <c r="E43" s="633"/>
      <c r="F43" s="633"/>
      <c r="G43" s="633"/>
      <c r="H43" s="645"/>
      <c r="I43" s="507"/>
      <c r="J43" s="507"/>
    </row>
    <row r="44" spans="1:10" s="345" customFormat="1" ht="17.25" customHeight="1" x14ac:dyDescent="0.25">
      <c r="A44" s="694" t="s">
        <v>662</v>
      </c>
      <c r="B44" s="695"/>
      <c r="C44" s="696"/>
      <c r="D44" s="696"/>
      <c r="E44" s="696"/>
      <c r="F44" s="696"/>
      <c r="G44" s="696"/>
      <c r="H44" s="696"/>
      <c r="I44" s="642"/>
      <c r="J44" s="642"/>
    </row>
    <row r="45" spans="1:10" s="345" customFormat="1" ht="17.25" customHeight="1" x14ac:dyDescent="0.25">
      <c r="A45" s="694" t="s">
        <v>648</v>
      </c>
      <c r="B45" s="695"/>
      <c r="C45" s="642"/>
      <c r="D45" s="642"/>
      <c r="E45" s="642"/>
      <c r="F45" s="642"/>
      <c r="G45" s="642"/>
      <c r="H45" s="653"/>
      <c r="I45" s="642"/>
      <c r="J45" s="642"/>
    </row>
    <row r="46" spans="1:10" customFormat="1" ht="21.95" customHeight="1" x14ac:dyDescent="0.25">
      <c r="A46" s="477" t="s">
        <v>738</v>
      </c>
      <c r="B46" s="607"/>
      <c r="C46" s="444"/>
      <c r="D46" s="444"/>
      <c r="E46" s="444"/>
      <c r="F46" s="444"/>
      <c r="G46" s="444"/>
      <c r="H46" s="654"/>
      <c r="I46" s="444"/>
      <c r="J46" s="444"/>
    </row>
    <row r="47" spans="1:10" s="345" customFormat="1" ht="17.25" customHeight="1" x14ac:dyDescent="0.25">
      <c r="A47" s="567" t="s">
        <v>739</v>
      </c>
      <c r="B47" s="642"/>
      <c r="C47" s="642"/>
      <c r="D47" s="642"/>
      <c r="E47" s="642"/>
      <c r="F47" s="642"/>
      <c r="G47" s="642"/>
      <c r="H47" s="653"/>
      <c r="I47" s="642">
        <f>ROUND(1*1.0052*1.0168*1.0042,4)</f>
        <v>1.0264</v>
      </c>
      <c r="J47" s="491" t="s">
        <v>11</v>
      </c>
    </row>
    <row r="48" spans="1:10" customFormat="1" ht="11.25" customHeight="1" x14ac:dyDescent="0.25">
      <c r="A48" s="699"/>
      <c r="B48" s="700"/>
      <c r="C48" s="444"/>
      <c r="D48" s="444"/>
      <c r="E48" s="444"/>
      <c r="F48" s="444"/>
      <c r="G48" s="444"/>
      <c r="H48" s="654"/>
      <c r="I48" s="444"/>
      <c r="J48" s="444"/>
    </row>
    <row r="49" spans="1:12" customFormat="1" ht="27" customHeight="1" x14ac:dyDescent="0.25">
      <c r="A49" s="701" t="s">
        <v>740</v>
      </c>
      <c r="B49" s="701"/>
      <c r="C49" s="701"/>
      <c r="D49" s="701"/>
      <c r="E49" s="701"/>
      <c r="F49" s="701"/>
      <c r="G49" s="701"/>
      <c r="H49" s="701"/>
      <c r="I49" s="444"/>
      <c r="J49" s="444"/>
    </row>
    <row r="50" spans="1:12" s="479" customFormat="1" x14ac:dyDescent="0.25">
      <c r="A50" s="486" t="s">
        <v>649</v>
      </c>
      <c r="B50" s="486"/>
      <c r="C50" s="487"/>
      <c r="D50" s="488"/>
      <c r="E50" s="488"/>
      <c r="F50" s="488"/>
      <c r="G50" s="488"/>
      <c r="H50" s="655"/>
      <c r="I50" s="474"/>
      <c r="J50" s="474"/>
    </row>
    <row r="51" spans="1:12" s="479" customFormat="1" x14ac:dyDescent="0.25">
      <c r="A51" s="486" t="s">
        <v>654</v>
      </c>
      <c r="B51" s="486"/>
      <c r="C51" s="487"/>
      <c r="D51" s="488"/>
      <c r="E51" s="488"/>
      <c r="F51" s="488"/>
      <c r="G51" s="488"/>
      <c r="H51" s="655"/>
      <c r="I51" s="474"/>
      <c r="J51" s="473">
        <f>(1-0.15)*0.5</f>
        <v>0.42499999999999999</v>
      </c>
      <c r="K51" s="479" t="s">
        <v>650</v>
      </c>
      <c r="L51" s="479" t="s">
        <v>651</v>
      </c>
    </row>
    <row r="52" spans="1:12" s="479" customFormat="1" x14ac:dyDescent="0.25">
      <c r="A52" s="486" t="s">
        <v>653</v>
      </c>
      <c r="B52" s="486"/>
      <c r="C52" s="487"/>
      <c r="D52" s="488"/>
      <c r="E52" s="488"/>
      <c r="F52" s="488"/>
      <c r="G52" s="488"/>
      <c r="H52" s="655"/>
      <c r="I52" s="474"/>
      <c r="J52" s="473">
        <f>(1-0.15)*0.5</f>
        <v>0.42499999999999999</v>
      </c>
      <c r="K52" s="479" t="s">
        <v>650</v>
      </c>
      <c r="L52" s="479" t="s">
        <v>652</v>
      </c>
    </row>
    <row r="53" spans="1:12" s="479" customFormat="1" x14ac:dyDescent="0.25">
      <c r="A53" s="486" t="s">
        <v>741</v>
      </c>
      <c r="B53" s="486"/>
      <c r="C53" s="487"/>
      <c r="D53" s="488"/>
      <c r="E53" s="488"/>
      <c r="F53" s="488"/>
      <c r="G53" s="488"/>
      <c r="H53" s="655"/>
      <c r="I53" s="474"/>
      <c r="J53" s="473"/>
    </row>
    <row r="54" spans="1:12" s="479" customFormat="1" x14ac:dyDescent="0.25">
      <c r="A54" s="486" t="s">
        <v>742</v>
      </c>
      <c r="B54" s="608">
        <v>1.036</v>
      </c>
      <c r="C54" s="487"/>
      <c r="D54" s="488"/>
      <c r="E54" s="488"/>
      <c r="F54" s="488"/>
      <c r="G54" s="488"/>
      <c r="H54" s="655"/>
      <c r="I54" s="474"/>
      <c r="J54" s="473"/>
    </row>
    <row r="55" spans="1:12" s="479" customFormat="1" x14ac:dyDescent="0.25">
      <c r="A55" s="486" t="s">
        <v>743</v>
      </c>
      <c r="B55" s="608">
        <v>1.0369999999999999</v>
      </c>
      <c r="C55" s="487"/>
      <c r="D55" s="488"/>
      <c r="E55" s="488"/>
      <c r="F55" s="488"/>
      <c r="G55" s="488"/>
      <c r="H55" s="655"/>
      <c r="I55" s="474"/>
      <c r="J55" s="473"/>
    </row>
    <row r="56" spans="1:12" s="479" customFormat="1" x14ac:dyDescent="0.25">
      <c r="A56" s="486" t="s">
        <v>744</v>
      </c>
      <c r="B56" s="608"/>
      <c r="C56" s="487"/>
      <c r="D56" s="488"/>
      <c r="E56" s="488"/>
      <c r="F56" s="488"/>
      <c r="G56" s="488"/>
      <c r="H56" s="655"/>
      <c r="I56" s="474"/>
      <c r="J56" s="473"/>
    </row>
    <row r="57" spans="1:12" s="479" customFormat="1" x14ac:dyDescent="0.25">
      <c r="A57" s="486" t="s">
        <v>742</v>
      </c>
      <c r="B57" s="609">
        <v>1.00295</v>
      </c>
      <c r="C57" s="487"/>
      <c r="D57" s="488"/>
      <c r="E57" s="488"/>
      <c r="F57" s="488"/>
      <c r="G57" s="488"/>
      <c r="H57" s="655"/>
      <c r="I57" s="474"/>
      <c r="J57" s="473"/>
    </row>
    <row r="58" spans="1:12" s="479" customFormat="1" x14ac:dyDescent="0.25">
      <c r="A58" s="486" t="s">
        <v>743</v>
      </c>
      <c r="B58" s="609">
        <v>1.0030300000000001</v>
      </c>
      <c r="C58" s="487"/>
      <c r="D58" s="488"/>
      <c r="E58" s="488"/>
      <c r="F58" s="488"/>
      <c r="G58" s="488"/>
      <c r="H58" s="655"/>
      <c r="I58" s="474"/>
      <c r="J58" s="473"/>
    </row>
    <row r="59" spans="1:12" s="479" customFormat="1" x14ac:dyDescent="0.25">
      <c r="A59" s="480" t="s">
        <v>745</v>
      </c>
      <c r="B59" s="481"/>
      <c r="C59" s="481"/>
      <c r="D59" s="482"/>
      <c r="E59" s="482"/>
      <c r="F59" s="482"/>
      <c r="G59" s="482"/>
      <c r="H59" s="656"/>
      <c r="I59" s="474">
        <f>ROUND((1.00295^6+1.00295^11)/2,4)</f>
        <v>1.0254000000000001</v>
      </c>
      <c r="J59" s="484"/>
    </row>
    <row r="60" spans="1:12" s="479" customFormat="1" x14ac:dyDescent="0.25">
      <c r="A60" s="480" t="s">
        <v>747</v>
      </c>
      <c r="B60" s="481"/>
      <c r="C60" s="481"/>
      <c r="D60" s="482"/>
      <c r="E60" s="482"/>
      <c r="F60" s="482"/>
      <c r="G60" s="482"/>
      <c r="H60" s="656"/>
      <c r="I60" s="474">
        <f>ROUND(1.00295^11*(1.00303+1.00303^6)/2,4)</f>
        <v>1.044</v>
      </c>
      <c r="J60" s="485"/>
    </row>
    <row r="61" spans="1:12" s="479" customFormat="1" x14ac:dyDescent="0.25">
      <c r="A61" s="480" t="s">
        <v>748</v>
      </c>
      <c r="B61" s="486"/>
      <c r="C61" s="486"/>
      <c r="D61" s="488"/>
      <c r="E61" s="488"/>
      <c r="F61" s="488"/>
      <c r="G61" s="488"/>
      <c r="H61" s="655"/>
      <c r="I61" s="615">
        <f>ROUND(0.15*1+0.425*1.0254+0.425*1.044,4)</f>
        <v>1.0295000000000001</v>
      </c>
      <c r="J61" s="478"/>
    </row>
    <row r="62" spans="1:12" s="479" customFormat="1" x14ac:dyDescent="0.25">
      <c r="A62" s="490"/>
      <c r="B62" s="488"/>
      <c r="C62" s="482"/>
      <c r="D62" s="482"/>
      <c r="E62" s="482"/>
      <c r="F62" s="482"/>
      <c r="G62" s="482"/>
      <c r="H62" s="657"/>
      <c r="I62" s="474"/>
      <c r="J62" s="478"/>
    </row>
    <row r="63" spans="1:12" s="479" customFormat="1" x14ac:dyDescent="0.25">
      <c r="A63" s="494" t="s">
        <v>663</v>
      </c>
      <c r="B63" s="495"/>
      <c r="C63" s="474"/>
      <c r="D63" s="474"/>
      <c r="E63" s="474"/>
      <c r="F63" s="474"/>
      <c r="G63" s="474"/>
      <c r="H63" s="657"/>
      <c r="I63" s="474"/>
      <c r="J63" s="473"/>
    </row>
    <row r="64" spans="1:12" s="479" customFormat="1" x14ac:dyDescent="0.25">
      <c r="A64" s="494" t="s">
        <v>655</v>
      </c>
      <c r="B64" s="495"/>
      <c r="C64" s="474"/>
      <c r="D64" s="474"/>
      <c r="E64" s="474"/>
      <c r="F64" s="474"/>
      <c r="G64" s="474"/>
      <c r="H64" s="657"/>
      <c r="I64" s="474"/>
      <c r="J64" s="473"/>
    </row>
    <row r="65" spans="1:10" s="479" customFormat="1" x14ac:dyDescent="0.25">
      <c r="A65" s="486" t="s">
        <v>658</v>
      </c>
      <c r="B65" s="495"/>
      <c r="C65" s="474"/>
      <c r="D65" s="474"/>
      <c r="E65" s="474"/>
      <c r="F65" s="474"/>
      <c r="G65" s="474"/>
      <c r="H65" s="657"/>
      <c r="I65" s="492">
        <f>174.13/1.2*183*24*1</f>
        <v>637315.80000000005</v>
      </c>
      <c r="J65" s="492"/>
    </row>
    <row r="66" spans="1:10" s="479" customFormat="1" x14ac:dyDescent="0.25">
      <c r="A66" s="494" t="s">
        <v>656</v>
      </c>
      <c r="B66" s="495"/>
      <c r="C66" s="474"/>
      <c r="D66" s="474"/>
      <c r="E66" s="474"/>
      <c r="F66" s="474"/>
      <c r="G66" s="474"/>
      <c r="H66" s="657"/>
      <c r="I66" s="474"/>
      <c r="J66" s="485"/>
    </row>
    <row r="67" spans="1:10" s="479" customFormat="1" x14ac:dyDescent="0.25">
      <c r="A67" s="486" t="s">
        <v>659</v>
      </c>
      <c r="B67" s="495"/>
      <c r="C67" s="474"/>
      <c r="D67" s="474"/>
      <c r="E67" s="474"/>
      <c r="F67" s="474"/>
      <c r="G67" s="474"/>
      <c r="H67" s="657"/>
      <c r="I67" s="492">
        <f>177.35/1.2*1*24*182</f>
        <v>645554</v>
      </c>
      <c r="J67" s="492"/>
    </row>
    <row r="68" spans="1:10" s="479" customFormat="1" x14ac:dyDescent="0.25">
      <c r="A68" s="486" t="s">
        <v>664</v>
      </c>
      <c r="B68" s="495"/>
      <c r="C68" s="474"/>
      <c r="D68" s="474"/>
      <c r="E68" s="474"/>
      <c r="F68" s="474"/>
      <c r="G68" s="474"/>
      <c r="H68" s="657"/>
      <c r="I68" s="496">
        <f ca="1">SUM(I65:I68)</f>
        <v>37077502959.592041</v>
      </c>
      <c r="J68" s="493"/>
    </row>
    <row r="69" spans="1:10" ht="15.75" x14ac:dyDescent="0.25">
      <c r="A69" s="320"/>
      <c r="B69" s="320"/>
      <c r="C69" s="321"/>
      <c r="D69" s="322"/>
      <c r="E69" s="322"/>
      <c r="F69" s="322"/>
      <c r="G69" s="322"/>
      <c r="H69" s="658"/>
      <c r="I69" s="312"/>
      <c r="J69" s="312"/>
    </row>
    <row r="70" spans="1:10" ht="38.25" customHeight="1" x14ac:dyDescent="0.25">
      <c r="A70" s="697" t="s">
        <v>766</v>
      </c>
      <c r="B70" s="698"/>
      <c r="C70" s="698"/>
      <c r="D70" s="698"/>
      <c r="E70" s="698"/>
      <c r="F70" s="698"/>
      <c r="G70" s="698"/>
      <c r="H70" s="698"/>
      <c r="I70" s="312"/>
      <c r="J70" s="312"/>
    </row>
    <row r="71" spans="1:10" ht="123.75" customHeight="1" x14ac:dyDescent="0.25">
      <c r="A71" s="314" t="s">
        <v>475</v>
      </c>
      <c r="B71" s="314" t="s">
        <v>749</v>
      </c>
      <c r="C71" s="314" t="s">
        <v>476</v>
      </c>
      <c r="D71" s="314" t="s">
        <v>746</v>
      </c>
      <c r="E71" s="314" t="s">
        <v>477</v>
      </c>
      <c r="F71" s="314" t="s">
        <v>478</v>
      </c>
      <c r="G71" s="315">
        <v>0.05</v>
      </c>
      <c r="H71" s="648" t="s">
        <v>478</v>
      </c>
      <c r="I71" s="312"/>
      <c r="J71" s="312"/>
    </row>
    <row r="72" spans="1:10" s="500" customFormat="1" ht="54.75" customHeight="1" x14ac:dyDescent="0.25">
      <c r="A72" s="318" t="s">
        <v>716</v>
      </c>
      <c r="B72" s="497"/>
      <c r="C72" s="498"/>
      <c r="D72" s="319" t="e">
        <f>D74+D73</f>
        <v>#REF!</v>
      </c>
      <c r="E72" s="497"/>
      <c r="F72" s="319" t="e">
        <f>F74+F73</f>
        <v>#REF!</v>
      </c>
      <c r="G72" s="497"/>
      <c r="H72" s="649" t="e">
        <f>H74+H73</f>
        <v>#REF!</v>
      </c>
      <c r="I72" s="499"/>
      <c r="J72" s="499"/>
    </row>
    <row r="73" spans="1:10" s="339" customFormat="1" ht="37.5" customHeight="1" x14ac:dyDescent="0.25">
      <c r="A73" s="335" t="s">
        <v>480</v>
      </c>
      <c r="B73" s="341"/>
      <c r="C73" s="475"/>
      <c r="D73" s="336" t="e">
        <f>'расчет 1 эт ПИР'!C10</f>
        <v>#REF!</v>
      </c>
      <c r="E73" s="337">
        <v>1</v>
      </c>
      <c r="F73" s="336" t="e">
        <f>ROUND(D73*E73,0)</f>
        <v>#REF!</v>
      </c>
      <c r="G73" s="337"/>
      <c r="H73" s="650" t="e">
        <f>ROUND(D73*E73,2)</f>
        <v>#REF!</v>
      </c>
      <c r="I73" s="338"/>
      <c r="J73" s="338"/>
    </row>
    <row r="74" spans="1:10" s="339" customFormat="1" ht="30.75" customHeight="1" x14ac:dyDescent="0.25">
      <c r="A74" s="335" t="s">
        <v>710</v>
      </c>
      <c r="B74" s="341"/>
      <c r="C74" s="475"/>
      <c r="D74" s="336" t="e">
        <f>'расчет 1 эт ПИР'!C11</f>
        <v>#REF!</v>
      </c>
      <c r="E74" s="337">
        <v>1</v>
      </c>
      <c r="F74" s="336" t="e">
        <f>ROUND(D74*E74,0)</f>
        <v>#REF!</v>
      </c>
      <c r="G74" s="337"/>
      <c r="H74" s="650" t="e">
        <f>ROUND(D74*E74,2)</f>
        <v>#REF!</v>
      </c>
      <c r="I74" s="338"/>
      <c r="J74" s="338"/>
    </row>
    <row r="75" spans="1:10" s="500" customFormat="1" ht="21" customHeight="1" x14ac:dyDescent="0.25">
      <c r="A75" s="318" t="s">
        <v>718</v>
      </c>
      <c r="B75" s="497"/>
      <c r="C75" s="498"/>
      <c r="D75" s="319" t="e">
        <f>ROUND(D74*0.0265,2)</f>
        <v>#REF!</v>
      </c>
      <c r="E75" s="501">
        <v>1</v>
      </c>
      <c r="F75" s="319" t="e">
        <f>ROUND(D75*E75,0)</f>
        <v>#REF!</v>
      </c>
      <c r="G75" s="502"/>
      <c r="H75" s="649" t="e">
        <f>ROUND(D75*E75,2)</f>
        <v>#REF!</v>
      </c>
      <c r="I75" s="499"/>
      <c r="J75" s="499"/>
    </row>
    <row r="76" spans="1:10" s="500" customFormat="1" ht="30.75" customHeight="1" x14ac:dyDescent="0.25">
      <c r="A76" s="318" t="s">
        <v>719</v>
      </c>
      <c r="B76" s="497"/>
      <c r="C76" s="501"/>
      <c r="D76" s="319"/>
      <c r="E76" s="501"/>
      <c r="F76" s="319"/>
      <c r="G76" s="502"/>
      <c r="H76" s="649" t="e">
        <f>ROUND((H77)*0.0015,2)</f>
        <v>#REF!</v>
      </c>
      <c r="I76" s="617"/>
      <c r="J76" s="499"/>
    </row>
    <row r="77" spans="1:10" s="500" customFormat="1" ht="44.25" customHeight="1" x14ac:dyDescent="0.25">
      <c r="A77" s="318" t="s">
        <v>717</v>
      </c>
      <c r="B77" s="319" t="e">
        <f>B78+B79+B80</f>
        <v>#REF!</v>
      </c>
      <c r="C77" s="498"/>
      <c r="D77" s="319" t="e">
        <f>D78+D79+D80</f>
        <v>#REF!</v>
      </c>
      <c r="E77" s="497"/>
      <c r="F77" s="319" t="e">
        <f>F78+F79+F80</f>
        <v>#REF!</v>
      </c>
      <c r="G77" s="497"/>
      <c r="H77" s="649" t="e">
        <f>H78+H79+H80</f>
        <v>#REF!</v>
      </c>
      <c r="I77" s="618"/>
      <c r="J77" s="499"/>
    </row>
    <row r="78" spans="1:10" s="339" customFormat="1" ht="59.25" customHeight="1" x14ac:dyDescent="0.25">
      <c r="A78" s="335" t="s">
        <v>757</v>
      </c>
      <c r="B78" s="336" t="e">
        <f>#REF!*1000</f>
        <v>#REF!</v>
      </c>
      <c r="C78" s="475">
        <f>I90</f>
        <v>1.0264</v>
      </c>
      <c r="D78" s="336" t="e">
        <f>ROUND(B78*C78,0)</f>
        <v>#REF!</v>
      </c>
      <c r="E78" s="340">
        <f>I104</f>
        <v>1.0295000000000001</v>
      </c>
      <c r="F78" s="336" t="e">
        <f>ROUND(D78*E78,0)</f>
        <v>#REF!</v>
      </c>
      <c r="G78" s="336" t="e">
        <f>ROUND(F78*0.05,0)</f>
        <v>#REF!</v>
      </c>
      <c r="H78" s="650" t="e">
        <f t="shared" ref="H78:H79" si="2">F78-G78</f>
        <v>#REF!</v>
      </c>
      <c r="I78" s="620"/>
      <c r="J78" s="338"/>
    </row>
    <row r="79" spans="1:10" s="339" customFormat="1" ht="25.5" customHeight="1" x14ac:dyDescent="0.25">
      <c r="A79" s="335" t="s">
        <v>481</v>
      </c>
      <c r="B79" s="336"/>
      <c r="C79" s="475"/>
      <c r="D79" s="336"/>
      <c r="E79" s="340"/>
      <c r="F79" s="336">
        <v>1282870</v>
      </c>
      <c r="G79" s="336">
        <f t="shared" ref="G79" si="3">ROUND(F79*0.05,0)</f>
        <v>64144</v>
      </c>
      <c r="H79" s="650">
        <f t="shared" si="2"/>
        <v>1218726</v>
      </c>
      <c r="I79" s="619"/>
      <c r="J79" s="338"/>
    </row>
    <row r="80" spans="1:10" s="339" customFormat="1" ht="42" customHeight="1" x14ac:dyDescent="0.25">
      <c r="A80" s="335" t="s">
        <v>482</v>
      </c>
      <c r="B80" s="336"/>
      <c r="C80" s="475"/>
      <c r="D80" s="336"/>
      <c r="E80" s="337"/>
      <c r="F80" s="336"/>
      <c r="G80" s="336" t="e">
        <f>SUM(G78:G79)</f>
        <v>#REF!</v>
      </c>
      <c r="H80" s="650" t="e">
        <f>G80</f>
        <v>#REF!</v>
      </c>
      <c r="I80" s="619"/>
      <c r="J80" s="338"/>
    </row>
    <row r="81" spans="1:12" s="508" customFormat="1" ht="35.25" customHeight="1" x14ac:dyDescent="0.25">
      <c r="A81" s="503" t="s">
        <v>661</v>
      </c>
      <c r="B81" s="504" t="e">
        <f>B77+B75+B72+B76</f>
        <v>#REF!</v>
      </c>
      <c r="C81" s="505"/>
      <c r="D81" s="504" t="e">
        <f>D77+D75+D72+D76</f>
        <v>#REF!</v>
      </c>
      <c r="E81" s="506"/>
      <c r="F81" s="504" t="e">
        <f>F77+F75+F72+F76</f>
        <v>#REF!</v>
      </c>
      <c r="G81" s="504"/>
      <c r="H81" s="651" t="e">
        <f>H77+H75+H72+H76</f>
        <v>#REF!</v>
      </c>
      <c r="I81" s="621"/>
      <c r="J81" s="507"/>
    </row>
    <row r="82" spans="1:12" s="508" customFormat="1" ht="35.25" customHeight="1" x14ac:dyDescent="0.25">
      <c r="A82" s="503" t="s">
        <v>756</v>
      </c>
      <c r="B82" s="504"/>
      <c r="C82" s="505"/>
      <c r="D82" s="504"/>
      <c r="E82" s="506"/>
      <c r="F82" s="504"/>
      <c r="G82" s="504"/>
      <c r="H82" s="651" t="e">
        <f>ROUND(H81*0.976745,2)</f>
        <v>#REF!</v>
      </c>
      <c r="I82" s="621"/>
      <c r="J82" s="507"/>
    </row>
    <row r="83" spans="1:12" ht="35.25" customHeight="1" x14ac:dyDescent="0.25">
      <c r="A83" s="316" t="s">
        <v>46</v>
      </c>
      <c r="B83" s="317" t="e">
        <f>ROUND(B81*0.2,0)</f>
        <v>#REF!</v>
      </c>
      <c r="C83" s="476"/>
      <c r="D83" s="317" t="e">
        <f>ROUND(D81*0.2,0)</f>
        <v>#REF!</v>
      </c>
      <c r="E83" s="317"/>
      <c r="F83" s="317" t="e">
        <f>ROUND(F81*0.2,0)</f>
        <v>#REF!</v>
      </c>
      <c r="G83" s="317"/>
      <c r="H83" s="652" t="e">
        <f>ROUND(H82*0.2,2)</f>
        <v>#REF!</v>
      </c>
      <c r="I83" s="622"/>
      <c r="J83" s="312"/>
    </row>
    <row r="84" spans="1:12" s="511" customFormat="1" ht="35.25" customHeight="1" x14ac:dyDescent="0.25">
      <c r="A84" s="503" t="s">
        <v>479</v>
      </c>
      <c r="B84" s="504" t="e">
        <f>B81+B83</f>
        <v>#REF!</v>
      </c>
      <c r="C84" s="509"/>
      <c r="D84" s="504" t="e">
        <f>D81+D83</f>
        <v>#REF!</v>
      </c>
      <c r="E84" s="504"/>
      <c r="F84" s="504" t="e">
        <f>F81+F83</f>
        <v>#REF!</v>
      </c>
      <c r="G84" s="504"/>
      <c r="H84" s="651" t="e">
        <f>H82+H83</f>
        <v>#REF!</v>
      </c>
      <c r="I84" s="623"/>
      <c r="J84" s="510"/>
    </row>
    <row r="85" spans="1:12" s="508" customFormat="1" ht="21" customHeight="1" x14ac:dyDescent="0.25">
      <c r="A85" s="632" t="s">
        <v>763</v>
      </c>
      <c r="B85" s="633"/>
      <c r="C85" s="634"/>
      <c r="D85" s="633"/>
      <c r="E85" s="633"/>
      <c r="F85" s="633"/>
      <c r="G85" s="633"/>
      <c r="H85" s="645" t="e">
        <f>ROUND((H72+H76)*0.976745*1.2,2)</f>
        <v>#REF!</v>
      </c>
      <c r="I85" s="507"/>
      <c r="J85" s="507"/>
    </row>
    <row r="86" spans="1:12" s="508" customFormat="1" ht="21" customHeight="1" x14ac:dyDescent="0.25">
      <c r="A86" s="632" t="s">
        <v>764</v>
      </c>
      <c r="B86" s="633"/>
      <c r="C86" s="634"/>
      <c r="D86" s="633"/>
      <c r="E86" s="633"/>
      <c r="F86" s="633"/>
      <c r="G86" s="633"/>
      <c r="H86" s="645" t="e">
        <f>ROUND((H77+H75)*0.976745*1.2,2)-0.01</f>
        <v>#REF!</v>
      </c>
      <c r="I86" s="507"/>
      <c r="J86" s="507"/>
    </row>
    <row r="87" spans="1:12" s="345" customFormat="1" ht="17.25" customHeight="1" x14ac:dyDescent="0.25">
      <c r="A87" s="694" t="s">
        <v>647</v>
      </c>
      <c r="B87" s="695"/>
      <c r="C87" s="696"/>
      <c r="D87" s="696"/>
      <c r="E87" s="696"/>
      <c r="F87" s="696"/>
      <c r="G87" s="696"/>
      <c r="H87" s="696"/>
      <c r="I87" s="606"/>
      <c r="J87" s="642"/>
    </row>
    <row r="88" spans="1:12" s="345" customFormat="1" ht="17.25" customHeight="1" x14ac:dyDescent="0.25">
      <c r="A88" s="694" t="s">
        <v>648</v>
      </c>
      <c r="B88" s="695"/>
      <c r="C88" s="642"/>
      <c r="D88" s="642"/>
      <c r="E88" s="642"/>
      <c r="F88" s="642"/>
      <c r="G88" s="642"/>
      <c r="H88" s="653"/>
      <c r="I88" s="642"/>
      <c r="J88" s="642"/>
    </row>
    <row r="89" spans="1:12" customFormat="1" ht="21.95" customHeight="1" x14ac:dyDescent="0.25">
      <c r="A89" s="477" t="s">
        <v>738</v>
      </c>
      <c r="B89" s="607"/>
      <c r="C89" s="444"/>
      <c r="D89" s="444"/>
      <c r="E89" s="444"/>
      <c r="F89" s="444"/>
      <c r="G89" s="444"/>
      <c r="H89" s="654"/>
      <c r="I89" s="444"/>
      <c r="J89" s="444"/>
    </row>
    <row r="90" spans="1:12" s="345" customFormat="1" ht="17.25" customHeight="1" x14ac:dyDescent="0.25">
      <c r="A90" s="567" t="s">
        <v>739</v>
      </c>
      <c r="B90" s="642"/>
      <c r="C90" s="642"/>
      <c r="D90" s="642"/>
      <c r="E90" s="642"/>
      <c r="F90" s="642"/>
      <c r="G90" s="642"/>
      <c r="H90" s="653"/>
      <c r="I90" s="642">
        <f>ROUND(1*1.0052*1.0168*1.0042,4)</f>
        <v>1.0264</v>
      </c>
      <c r="J90" s="491" t="s">
        <v>11</v>
      </c>
    </row>
    <row r="91" spans="1:12" customFormat="1" ht="11.25" customHeight="1" x14ac:dyDescent="0.25">
      <c r="A91" s="699"/>
      <c r="B91" s="700"/>
      <c r="C91" s="444"/>
      <c r="D91" s="444"/>
      <c r="E91" s="444"/>
      <c r="F91" s="444"/>
      <c r="G91" s="444"/>
      <c r="H91" s="654"/>
      <c r="I91" s="444"/>
      <c r="J91" s="444"/>
    </row>
    <row r="92" spans="1:12" customFormat="1" ht="27" customHeight="1" x14ac:dyDescent="0.25">
      <c r="A92" s="701" t="s">
        <v>740</v>
      </c>
      <c r="B92" s="701"/>
      <c r="C92" s="701"/>
      <c r="D92" s="701"/>
      <c r="E92" s="701"/>
      <c r="F92" s="701"/>
      <c r="G92" s="701"/>
      <c r="H92" s="701"/>
      <c r="I92" s="444"/>
      <c r="J92" s="444"/>
    </row>
    <row r="93" spans="1:12" s="479" customFormat="1" x14ac:dyDescent="0.25">
      <c r="A93" s="486" t="s">
        <v>649</v>
      </c>
      <c r="B93" s="486"/>
      <c r="C93" s="487"/>
      <c r="D93" s="488"/>
      <c r="E93" s="488"/>
      <c r="F93" s="488"/>
      <c r="G93" s="488"/>
      <c r="H93" s="655"/>
      <c r="I93" s="474"/>
      <c r="J93" s="474"/>
    </row>
    <row r="94" spans="1:12" s="479" customFormat="1" x14ac:dyDescent="0.25">
      <c r="A94" s="486" t="s">
        <v>654</v>
      </c>
      <c r="B94" s="486"/>
      <c r="C94" s="487"/>
      <c r="D94" s="488"/>
      <c r="E94" s="488"/>
      <c r="F94" s="488"/>
      <c r="G94" s="488"/>
      <c r="H94" s="655"/>
      <c r="I94" s="474"/>
      <c r="J94" s="473">
        <f>(1-0.15)*0.5</f>
        <v>0.42499999999999999</v>
      </c>
      <c r="K94" s="479" t="s">
        <v>650</v>
      </c>
      <c r="L94" s="479" t="s">
        <v>651</v>
      </c>
    </row>
    <row r="95" spans="1:12" s="479" customFormat="1" x14ac:dyDescent="0.25">
      <c r="A95" s="486" t="s">
        <v>653</v>
      </c>
      <c r="B95" s="486"/>
      <c r="C95" s="487"/>
      <c r="D95" s="488"/>
      <c r="E95" s="488"/>
      <c r="F95" s="488"/>
      <c r="G95" s="488"/>
      <c r="H95" s="655"/>
      <c r="I95" s="474"/>
      <c r="J95" s="473">
        <f>(1-0.15)*0.5</f>
        <v>0.42499999999999999</v>
      </c>
      <c r="K95" s="479" t="s">
        <v>650</v>
      </c>
      <c r="L95" s="479" t="s">
        <v>652</v>
      </c>
    </row>
    <row r="96" spans="1:12" s="479" customFormat="1" x14ac:dyDescent="0.25">
      <c r="A96" s="486" t="s">
        <v>741</v>
      </c>
      <c r="B96" s="486"/>
      <c r="C96" s="487"/>
      <c r="D96" s="488"/>
      <c r="E96" s="488"/>
      <c r="F96" s="488"/>
      <c r="G96" s="488"/>
      <c r="H96" s="655"/>
      <c r="I96" s="474"/>
      <c r="J96" s="473"/>
    </row>
    <row r="97" spans="1:10" s="479" customFormat="1" x14ac:dyDescent="0.25">
      <c r="A97" s="486" t="s">
        <v>742</v>
      </c>
      <c r="B97" s="608">
        <v>1.036</v>
      </c>
      <c r="C97" s="487"/>
      <c r="D97" s="488"/>
      <c r="E97" s="488"/>
      <c r="F97" s="488"/>
      <c r="G97" s="488"/>
      <c r="H97" s="655"/>
      <c r="I97" s="474"/>
      <c r="J97" s="473"/>
    </row>
    <row r="98" spans="1:10" s="479" customFormat="1" x14ac:dyDescent="0.25">
      <c r="A98" s="486" t="s">
        <v>743</v>
      </c>
      <c r="B98" s="608">
        <v>1.0369999999999999</v>
      </c>
      <c r="C98" s="487"/>
      <c r="D98" s="488"/>
      <c r="E98" s="488"/>
      <c r="F98" s="488"/>
      <c r="G98" s="488"/>
      <c r="H98" s="655"/>
      <c r="I98" s="474"/>
      <c r="J98" s="473"/>
    </row>
    <row r="99" spans="1:10" s="479" customFormat="1" x14ac:dyDescent="0.25">
      <c r="A99" s="486" t="s">
        <v>744</v>
      </c>
      <c r="B99" s="608"/>
      <c r="C99" s="487"/>
      <c r="D99" s="488"/>
      <c r="E99" s="488"/>
      <c r="F99" s="488"/>
      <c r="G99" s="488"/>
      <c r="H99" s="655"/>
      <c r="I99" s="474"/>
      <c r="J99" s="473"/>
    </row>
    <row r="100" spans="1:10" s="479" customFormat="1" x14ac:dyDescent="0.25">
      <c r="A100" s="486" t="s">
        <v>742</v>
      </c>
      <c r="B100" s="609">
        <v>1.00295</v>
      </c>
      <c r="C100" s="487"/>
      <c r="D100" s="488"/>
      <c r="E100" s="488"/>
      <c r="F100" s="488"/>
      <c r="G100" s="488"/>
      <c r="H100" s="655"/>
      <c r="I100" s="474"/>
      <c r="J100" s="473"/>
    </row>
    <row r="101" spans="1:10" s="479" customFormat="1" x14ac:dyDescent="0.25">
      <c r="A101" s="486" t="s">
        <v>743</v>
      </c>
      <c r="B101" s="609">
        <v>1.0030300000000001</v>
      </c>
      <c r="C101" s="487"/>
      <c r="D101" s="488"/>
      <c r="E101" s="488"/>
      <c r="F101" s="488"/>
      <c r="G101" s="488"/>
      <c r="H101" s="655"/>
      <c r="I101" s="474"/>
      <c r="J101" s="473"/>
    </row>
    <row r="102" spans="1:10" s="479" customFormat="1" x14ac:dyDescent="0.25">
      <c r="A102" s="480" t="s">
        <v>745</v>
      </c>
      <c r="B102" s="481"/>
      <c r="C102" s="481"/>
      <c r="D102" s="482"/>
      <c r="E102" s="482"/>
      <c r="F102" s="482"/>
      <c r="G102" s="482"/>
      <c r="H102" s="656"/>
      <c r="I102" s="474">
        <f>ROUND((1.00295^6+1.00295^11)/2,4)</f>
        <v>1.0254000000000001</v>
      </c>
      <c r="J102" s="484"/>
    </row>
    <row r="103" spans="1:10" s="479" customFormat="1" x14ac:dyDescent="0.25">
      <c r="A103" s="480" t="s">
        <v>747</v>
      </c>
      <c r="B103" s="481"/>
      <c r="C103" s="481"/>
      <c r="D103" s="482"/>
      <c r="E103" s="482"/>
      <c r="F103" s="482"/>
      <c r="G103" s="482"/>
      <c r="H103" s="656"/>
      <c r="I103" s="474">
        <f>ROUND(1.00295^11*(1.00303+1.00303^6)/2,4)</f>
        <v>1.044</v>
      </c>
      <c r="J103" s="485"/>
    </row>
    <row r="104" spans="1:10" s="479" customFormat="1" x14ac:dyDescent="0.25">
      <c r="A104" s="480" t="s">
        <v>748</v>
      </c>
      <c r="B104" s="486"/>
      <c r="C104" s="486"/>
      <c r="D104" s="488"/>
      <c r="E104" s="488"/>
      <c r="F104" s="488"/>
      <c r="G104" s="488"/>
      <c r="H104" s="655"/>
      <c r="I104" s="615">
        <f>ROUND(0.15*1+0.425*1.0254+0.425*1.044,4)</f>
        <v>1.0295000000000001</v>
      </c>
      <c r="J104" s="478"/>
    </row>
    <row r="105" spans="1:10" s="614" customFormat="1" x14ac:dyDescent="0.25">
      <c r="A105" s="610"/>
      <c r="B105" s="611"/>
      <c r="C105" s="469"/>
      <c r="D105" s="469"/>
      <c r="E105" s="469"/>
      <c r="F105" s="469"/>
      <c r="G105" s="469"/>
      <c r="H105" s="659"/>
      <c r="I105" s="612"/>
      <c r="J105" s="613"/>
    </row>
    <row r="106" spans="1:10" s="479" customFormat="1" x14ac:dyDescent="0.25">
      <c r="A106" s="494" t="s">
        <v>657</v>
      </c>
      <c r="B106" s="495"/>
      <c r="C106" s="474"/>
      <c r="D106" s="474"/>
      <c r="E106" s="474"/>
      <c r="F106" s="474"/>
      <c r="G106" s="474"/>
      <c r="H106" s="657"/>
      <c r="I106" s="474"/>
      <c r="J106" s="473"/>
    </row>
    <row r="107" spans="1:10" s="479" customFormat="1" x14ac:dyDescent="0.25">
      <c r="A107" s="494" t="s">
        <v>655</v>
      </c>
      <c r="B107" s="495"/>
      <c r="C107" s="474"/>
      <c r="D107" s="474"/>
      <c r="E107" s="474"/>
      <c r="F107" s="474"/>
      <c r="G107" s="474"/>
      <c r="H107" s="657"/>
      <c r="I107" s="474"/>
      <c r="J107" s="473"/>
    </row>
    <row r="108" spans="1:10" s="479" customFormat="1" x14ac:dyDescent="0.25">
      <c r="A108" s="486" t="s">
        <v>658</v>
      </c>
      <c r="B108" s="495"/>
      <c r="C108" s="474"/>
      <c r="D108" s="474"/>
      <c r="E108" s="474"/>
      <c r="F108" s="474"/>
      <c r="G108" s="474"/>
      <c r="H108" s="657"/>
      <c r="I108" s="492">
        <f>174.13/1.2*183*24*1</f>
        <v>637315.80000000005</v>
      </c>
      <c r="J108" s="492"/>
    </row>
    <row r="109" spans="1:10" s="479" customFormat="1" x14ac:dyDescent="0.25">
      <c r="A109" s="494" t="s">
        <v>656</v>
      </c>
      <c r="B109" s="495"/>
      <c r="C109" s="474"/>
      <c r="D109" s="474"/>
      <c r="E109" s="474"/>
      <c r="F109" s="474"/>
      <c r="G109" s="474"/>
      <c r="H109" s="657"/>
      <c r="I109" s="474"/>
      <c r="J109" s="485"/>
    </row>
    <row r="110" spans="1:10" s="479" customFormat="1" x14ac:dyDescent="0.25">
      <c r="A110" s="486" t="s">
        <v>659</v>
      </c>
      <c r="B110" s="495"/>
      <c r="C110" s="474"/>
      <c r="D110" s="474"/>
      <c r="E110" s="474"/>
      <c r="F110" s="474"/>
      <c r="G110" s="474"/>
      <c r="H110" s="657"/>
      <c r="I110" s="492">
        <f>177.35/1.2*1*24*182</f>
        <v>645554</v>
      </c>
      <c r="J110" s="492"/>
    </row>
    <row r="111" spans="1:10" s="479" customFormat="1" x14ac:dyDescent="0.25">
      <c r="A111" s="486" t="s">
        <v>660</v>
      </c>
      <c r="B111" s="495"/>
      <c r="C111" s="474"/>
      <c r="D111" s="474"/>
      <c r="E111" s="474"/>
      <c r="F111" s="474"/>
      <c r="G111" s="474"/>
      <c r="H111" s="657"/>
      <c r="I111" s="496">
        <f ca="1">SUM(I108:I111)</f>
        <v>37077502959.592041</v>
      </c>
      <c r="J111" s="493"/>
    </row>
    <row r="112" spans="1:10" s="345" customFormat="1" ht="17.25" customHeight="1" x14ac:dyDescent="0.25">
      <c r="A112" s="694"/>
      <c r="B112" s="695"/>
      <c r="C112" s="696"/>
      <c r="D112" s="696"/>
      <c r="E112" s="696"/>
      <c r="F112" s="696"/>
      <c r="G112" s="696"/>
      <c r="H112" s="696"/>
      <c r="J112" s="642"/>
    </row>
    <row r="113" spans="1:10" ht="24.75" customHeight="1" x14ac:dyDescent="0.25">
      <c r="A113" s="697" t="s">
        <v>765</v>
      </c>
      <c r="B113" s="698"/>
      <c r="C113" s="698"/>
      <c r="D113" s="698"/>
      <c r="E113" s="698"/>
      <c r="F113" s="698"/>
      <c r="G113" s="698"/>
      <c r="H113" s="698"/>
      <c r="I113" s="312"/>
      <c r="J113" s="312"/>
    </row>
    <row r="114" spans="1:10" ht="123.75" customHeight="1" x14ac:dyDescent="0.25">
      <c r="A114" s="314" t="s">
        <v>475</v>
      </c>
      <c r="B114" s="314" t="s">
        <v>749</v>
      </c>
      <c r="C114" s="314" t="s">
        <v>476</v>
      </c>
      <c r="D114" s="314" t="s">
        <v>746</v>
      </c>
      <c r="E114" s="314" t="s">
        <v>477</v>
      </c>
      <c r="F114" s="314" t="s">
        <v>478</v>
      </c>
      <c r="G114" s="315">
        <v>0.05</v>
      </c>
      <c r="H114" s="648" t="s">
        <v>478</v>
      </c>
      <c r="I114" s="312"/>
      <c r="J114" s="312"/>
    </row>
    <row r="115" spans="1:10" s="500" customFormat="1" ht="54.75" customHeight="1" x14ac:dyDescent="0.25">
      <c r="A115" s="318" t="s">
        <v>716</v>
      </c>
      <c r="B115" s="497"/>
      <c r="C115" s="497"/>
      <c r="D115" s="319" t="e">
        <f>D117+D116</f>
        <v>#REF!</v>
      </c>
      <c r="E115" s="497"/>
      <c r="F115" s="319" t="e">
        <f>F117+F116</f>
        <v>#REF!</v>
      </c>
      <c r="G115" s="497"/>
      <c r="H115" s="649" t="e">
        <f>H117+H116</f>
        <v>#REF!</v>
      </c>
      <c r="I115" s="499"/>
      <c r="J115" s="499"/>
    </row>
    <row r="116" spans="1:10" s="339" customFormat="1" ht="37.5" customHeight="1" x14ac:dyDescent="0.25">
      <c r="A116" s="335" t="s">
        <v>480</v>
      </c>
      <c r="B116" s="341"/>
      <c r="C116" s="341"/>
      <c r="D116" s="336" t="e">
        <f>'расчет эт 3 ПИР'!C10</f>
        <v>#REF!</v>
      </c>
      <c r="E116" s="337">
        <v>1</v>
      </c>
      <c r="F116" s="336" t="e">
        <f>ROUND(D116*E116,0)</f>
        <v>#REF!</v>
      </c>
      <c r="G116" s="337"/>
      <c r="H116" s="650" t="e">
        <f>ROUND(D116*E116,0)</f>
        <v>#REF!</v>
      </c>
      <c r="I116" s="338"/>
      <c r="J116" s="338"/>
    </row>
    <row r="117" spans="1:10" s="339" customFormat="1" ht="30.75" customHeight="1" x14ac:dyDescent="0.25">
      <c r="A117" s="335" t="s">
        <v>710</v>
      </c>
      <c r="B117" s="341"/>
      <c r="C117" s="341"/>
      <c r="D117" s="336" t="e">
        <f>'расчет эт 3 ПИР'!C11</f>
        <v>#REF!</v>
      </c>
      <c r="E117" s="337">
        <f>1</f>
        <v>1</v>
      </c>
      <c r="F117" s="336" t="e">
        <f>ROUND(D117*E117,0)</f>
        <v>#REF!</v>
      </c>
      <c r="G117" s="337"/>
      <c r="H117" s="650" t="e">
        <f>ROUND(D117*E117,0)</f>
        <v>#REF!</v>
      </c>
      <c r="I117" s="338"/>
      <c r="J117" s="338"/>
    </row>
    <row r="118" spans="1:10" s="500" customFormat="1" ht="21" customHeight="1" x14ac:dyDescent="0.25">
      <c r="A118" s="318" t="s">
        <v>718</v>
      </c>
      <c r="B118" s="497"/>
      <c r="C118" s="501"/>
      <c r="D118" s="319" t="e">
        <f>ROUND(D117*0.0265,2)</f>
        <v>#REF!</v>
      </c>
      <c r="E118" s="501">
        <v>1</v>
      </c>
      <c r="F118" s="319" t="e">
        <f>ROUND(D118*E118,0)</f>
        <v>#REF!</v>
      </c>
      <c r="G118" s="502"/>
      <c r="H118" s="649" t="e">
        <f>ROUND(D118*E118,2)</f>
        <v>#REF!</v>
      </c>
      <c r="I118" s="499"/>
      <c r="J118" s="499"/>
    </row>
    <row r="119" spans="1:10" s="500" customFormat="1" ht="30.75" customHeight="1" x14ac:dyDescent="0.25">
      <c r="A119" s="318" t="s">
        <v>719</v>
      </c>
      <c r="B119" s="497"/>
      <c r="C119" s="501"/>
      <c r="D119" s="319"/>
      <c r="E119" s="501"/>
      <c r="F119" s="319"/>
      <c r="G119" s="502"/>
      <c r="H119" s="649" t="e">
        <f>ROUND((H120)*0.0015,2)</f>
        <v>#REF!</v>
      </c>
      <c r="I119" s="499"/>
      <c r="J119" s="499"/>
    </row>
    <row r="120" spans="1:10" s="500" customFormat="1" ht="41.25" customHeight="1" x14ac:dyDescent="0.25">
      <c r="A120" s="318" t="s">
        <v>717</v>
      </c>
      <c r="B120" s="319" t="e">
        <f>B121+B122+B123</f>
        <v>#REF!</v>
      </c>
      <c r="C120" s="497"/>
      <c r="D120" s="319" t="e">
        <f>D121+D122+D123</f>
        <v>#REF!</v>
      </c>
      <c r="E120" s="497"/>
      <c r="F120" s="319" t="e">
        <f>F121+F122+F123</f>
        <v>#REF!</v>
      </c>
      <c r="G120" s="497"/>
      <c r="H120" s="649" t="e">
        <f>H121+H122+H123</f>
        <v>#REF!</v>
      </c>
      <c r="I120" s="513" t="e">
        <f>B120-'[13]ПНЦ на УК'!$B$108</f>
        <v>#REF!</v>
      </c>
      <c r="J120" s="499"/>
    </row>
    <row r="121" spans="1:10" s="339" customFormat="1" ht="64.5" customHeight="1" x14ac:dyDescent="0.25">
      <c r="A121" s="335" t="s">
        <v>757</v>
      </c>
      <c r="B121" s="336" t="e">
        <f>#REF!*1000</f>
        <v>#REF!</v>
      </c>
      <c r="C121" s="475">
        <f>I133</f>
        <v>1.0264</v>
      </c>
      <c r="D121" s="336" t="e">
        <f>ROUND(B121*C121,0)</f>
        <v>#REF!</v>
      </c>
      <c r="E121" s="340">
        <f>I147</f>
        <v>1.0295000000000001</v>
      </c>
      <c r="F121" s="336" t="e">
        <f>ROUND(D121*E121,0)-1</f>
        <v>#REF!</v>
      </c>
      <c r="G121" s="336" t="e">
        <f t="shared" ref="G121:G122" si="4">ROUND(F121*0.05,0)</f>
        <v>#REF!</v>
      </c>
      <c r="H121" s="650" t="e">
        <f t="shared" ref="H121:H122" si="5">F121-G121</f>
        <v>#REF!</v>
      </c>
      <c r="I121" s="338"/>
      <c r="J121" s="338"/>
    </row>
    <row r="122" spans="1:10" s="339" customFormat="1" ht="25.5" customHeight="1" x14ac:dyDescent="0.25">
      <c r="A122" s="335" t="s">
        <v>481</v>
      </c>
      <c r="B122" s="336"/>
      <c r="C122" s="475"/>
      <c r="D122" s="336"/>
      <c r="E122" s="340"/>
      <c r="F122" s="336">
        <v>1282870</v>
      </c>
      <c r="G122" s="336">
        <f t="shared" si="4"/>
        <v>64144</v>
      </c>
      <c r="H122" s="650">
        <f t="shared" si="5"/>
        <v>1218726</v>
      </c>
      <c r="I122" s="338"/>
      <c r="J122" s="338"/>
    </row>
    <row r="123" spans="1:10" s="339" customFormat="1" ht="42" customHeight="1" x14ac:dyDescent="0.25">
      <c r="A123" s="335" t="s">
        <v>482</v>
      </c>
      <c r="B123" s="336"/>
      <c r="C123" s="475"/>
      <c r="D123" s="336"/>
      <c r="E123" s="337"/>
      <c r="F123" s="336"/>
      <c r="G123" s="336" t="e">
        <f>SUM(G121:G122)</f>
        <v>#REF!</v>
      </c>
      <c r="H123" s="650" t="e">
        <f>G123</f>
        <v>#REF!</v>
      </c>
      <c r="I123" s="338"/>
      <c r="J123" s="338"/>
    </row>
    <row r="124" spans="1:10" s="508" customFormat="1" ht="35.25" customHeight="1" x14ac:dyDescent="0.25">
      <c r="A124" s="503" t="s">
        <v>452</v>
      </c>
      <c r="B124" s="504" t="e">
        <f>B120+B118+B115+B119</f>
        <v>#REF!</v>
      </c>
      <c r="C124" s="512"/>
      <c r="D124" s="504" t="e">
        <f>D120+D118+D115+D119</f>
        <v>#REF!</v>
      </c>
      <c r="E124" s="506"/>
      <c r="F124" s="504" t="e">
        <f>F120+F118+F115+F119</f>
        <v>#REF!</v>
      </c>
      <c r="G124" s="504"/>
      <c r="H124" s="651" t="e">
        <f>H120+H118+H115+H119</f>
        <v>#REF!</v>
      </c>
      <c r="I124" s="507"/>
      <c r="J124" s="507"/>
    </row>
    <row r="125" spans="1:10" s="508" customFormat="1" ht="35.25" customHeight="1" x14ac:dyDescent="0.25">
      <c r="A125" s="503" t="s">
        <v>756</v>
      </c>
      <c r="B125" s="504"/>
      <c r="C125" s="512"/>
      <c r="D125" s="504"/>
      <c r="E125" s="506"/>
      <c r="F125" s="504"/>
      <c r="G125" s="504"/>
      <c r="H125" s="651" t="e">
        <f>ROUND(H124*0.976745,2)</f>
        <v>#REF!</v>
      </c>
      <c r="I125" s="507"/>
      <c r="J125" s="507"/>
    </row>
    <row r="126" spans="1:10" ht="35.25" customHeight="1" x14ac:dyDescent="0.25">
      <c r="A126" s="316" t="s">
        <v>46</v>
      </c>
      <c r="B126" s="317" t="e">
        <f>ROUND(B124*0.2,0)</f>
        <v>#REF!</v>
      </c>
      <c r="C126" s="476"/>
      <c r="D126" s="317" t="e">
        <f>ROUND(D124*0.2,0)</f>
        <v>#REF!</v>
      </c>
      <c r="E126" s="317"/>
      <c r="F126" s="317" t="e">
        <f>ROUND(F124*0.2,0)</f>
        <v>#REF!</v>
      </c>
      <c r="G126" s="317"/>
      <c r="H126" s="652" t="e">
        <f>ROUND(H125*0.2,2)</f>
        <v>#REF!</v>
      </c>
      <c r="I126" s="312"/>
      <c r="J126" s="312"/>
    </row>
    <row r="127" spans="1:10" s="508" customFormat="1" ht="35.25" customHeight="1" x14ac:dyDescent="0.25">
      <c r="A127" s="503" t="s">
        <v>479</v>
      </c>
      <c r="B127" s="504" t="e">
        <f>B124+B126</f>
        <v>#REF!</v>
      </c>
      <c r="C127" s="509"/>
      <c r="D127" s="504" t="e">
        <f>D124+D126</f>
        <v>#REF!</v>
      </c>
      <c r="E127" s="504"/>
      <c r="F127" s="504" t="e">
        <f>F124+F126</f>
        <v>#REF!</v>
      </c>
      <c r="G127" s="504"/>
      <c r="H127" s="651" t="e">
        <f>H125+H126</f>
        <v>#REF!</v>
      </c>
      <c r="I127" s="507"/>
      <c r="J127" s="507"/>
    </row>
    <row r="128" spans="1:10" s="508" customFormat="1" ht="21" customHeight="1" x14ac:dyDescent="0.25">
      <c r="A128" s="632" t="s">
        <v>763</v>
      </c>
      <c r="B128" s="633"/>
      <c r="C128" s="634"/>
      <c r="D128" s="633"/>
      <c r="E128" s="633"/>
      <c r="F128" s="633"/>
      <c r="G128" s="633"/>
      <c r="H128" s="645" t="e">
        <f>ROUND((H115+H119)*0.976745*1.2,2)</f>
        <v>#REF!</v>
      </c>
      <c r="I128" s="507"/>
      <c r="J128" s="507"/>
    </row>
    <row r="129" spans="1:12" s="508" customFormat="1" ht="21" customHeight="1" x14ac:dyDescent="0.25">
      <c r="A129" s="632" t="s">
        <v>764</v>
      </c>
      <c r="B129" s="633"/>
      <c r="C129" s="634"/>
      <c r="D129" s="633"/>
      <c r="E129" s="633"/>
      <c r="F129" s="633"/>
      <c r="G129" s="633"/>
      <c r="H129" s="645" t="e">
        <f>ROUND((H120+H118)*0.976745*1.2,2)</f>
        <v>#REF!</v>
      </c>
      <c r="I129" s="507"/>
      <c r="J129" s="507"/>
    </row>
    <row r="130" spans="1:12" s="345" customFormat="1" ht="17.25" customHeight="1" x14ac:dyDescent="0.25">
      <c r="A130" s="694" t="s">
        <v>662</v>
      </c>
      <c r="B130" s="695"/>
      <c r="C130" s="696"/>
      <c r="D130" s="696"/>
      <c r="E130" s="696"/>
      <c r="F130" s="696"/>
      <c r="G130" s="696"/>
      <c r="H130" s="696"/>
      <c r="I130" s="642"/>
      <c r="J130" s="642"/>
    </row>
    <row r="131" spans="1:12" s="345" customFormat="1" ht="17.25" customHeight="1" x14ac:dyDescent="0.25">
      <c r="A131" s="694" t="s">
        <v>648</v>
      </c>
      <c r="B131" s="695"/>
      <c r="C131" s="642"/>
      <c r="D131" s="642"/>
      <c r="E131" s="642"/>
      <c r="F131" s="642"/>
      <c r="G131" s="642"/>
      <c r="H131" s="653"/>
      <c r="I131" s="642"/>
      <c r="J131" s="642"/>
    </row>
    <row r="132" spans="1:12" customFormat="1" ht="21.95" customHeight="1" x14ac:dyDescent="0.25">
      <c r="A132" s="477" t="s">
        <v>738</v>
      </c>
      <c r="B132" s="607"/>
      <c r="C132" s="444"/>
      <c r="D132" s="444"/>
      <c r="E132" s="444"/>
      <c r="F132" s="444"/>
      <c r="G132" s="444"/>
      <c r="H132" s="654"/>
      <c r="I132" s="444"/>
      <c r="J132" s="444"/>
    </row>
    <row r="133" spans="1:12" s="345" customFormat="1" ht="17.25" customHeight="1" x14ac:dyDescent="0.25">
      <c r="A133" s="567" t="s">
        <v>739</v>
      </c>
      <c r="B133" s="642"/>
      <c r="C133" s="642"/>
      <c r="D133" s="642"/>
      <c r="E133" s="642"/>
      <c r="F133" s="642"/>
      <c r="G133" s="642"/>
      <c r="H133" s="653"/>
      <c r="I133" s="642">
        <f>ROUND(1*1.0052*1.0168*1.0042,4)</f>
        <v>1.0264</v>
      </c>
      <c r="J133" s="491" t="s">
        <v>11</v>
      </c>
    </row>
    <row r="134" spans="1:12" customFormat="1" ht="11.25" customHeight="1" x14ac:dyDescent="0.25">
      <c r="A134" s="699"/>
      <c r="B134" s="700"/>
      <c r="C134" s="444"/>
      <c r="D134" s="444"/>
      <c r="E134" s="444"/>
      <c r="F134" s="444"/>
      <c r="G134" s="444"/>
      <c r="H134" s="654"/>
      <c r="I134" s="444"/>
      <c r="J134" s="444"/>
    </row>
    <row r="135" spans="1:12" customFormat="1" ht="27" customHeight="1" x14ac:dyDescent="0.25">
      <c r="A135" s="701" t="s">
        <v>740</v>
      </c>
      <c r="B135" s="701"/>
      <c r="C135" s="701"/>
      <c r="D135" s="701"/>
      <c r="E135" s="701"/>
      <c r="F135" s="701"/>
      <c r="G135" s="701"/>
      <c r="H135" s="701"/>
      <c r="I135" s="444"/>
      <c r="J135" s="444"/>
    </row>
    <row r="136" spans="1:12" s="479" customFormat="1" x14ac:dyDescent="0.25">
      <c r="A136" s="486" t="s">
        <v>649</v>
      </c>
      <c r="B136" s="486"/>
      <c r="C136" s="487"/>
      <c r="D136" s="488"/>
      <c r="E136" s="488"/>
      <c r="F136" s="488"/>
      <c r="G136" s="488"/>
      <c r="H136" s="655"/>
      <c r="I136" s="474"/>
      <c r="J136" s="474"/>
    </row>
    <row r="137" spans="1:12" s="479" customFormat="1" x14ac:dyDescent="0.25">
      <c r="A137" s="486" t="s">
        <v>654</v>
      </c>
      <c r="B137" s="486"/>
      <c r="C137" s="487"/>
      <c r="D137" s="488"/>
      <c r="E137" s="488"/>
      <c r="F137" s="488"/>
      <c r="G137" s="488"/>
      <c r="H137" s="655"/>
      <c r="I137" s="474"/>
      <c r="J137" s="473">
        <f>(1-0.15)*0.5</f>
        <v>0.42499999999999999</v>
      </c>
      <c r="K137" s="479" t="s">
        <v>650</v>
      </c>
      <c r="L137" s="479" t="s">
        <v>651</v>
      </c>
    </row>
    <row r="138" spans="1:12" s="479" customFormat="1" x14ac:dyDescent="0.25">
      <c r="A138" s="486" t="s">
        <v>653</v>
      </c>
      <c r="B138" s="486"/>
      <c r="C138" s="487"/>
      <c r="D138" s="488"/>
      <c r="E138" s="488"/>
      <c r="F138" s="488"/>
      <c r="G138" s="488"/>
      <c r="H138" s="655"/>
      <c r="I138" s="474"/>
      <c r="J138" s="473">
        <f>(1-0.15)*0.5</f>
        <v>0.42499999999999999</v>
      </c>
      <c r="K138" s="479" t="s">
        <v>650</v>
      </c>
      <c r="L138" s="479" t="s">
        <v>652</v>
      </c>
    </row>
    <row r="139" spans="1:12" s="479" customFormat="1" x14ac:dyDescent="0.25">
      <c r="A139" s="486" t="s">
        <v>741</v>
      </c>
      <c r="B139" s="486"/>
      <c r="C139" s="487"/>
      <c r="D139" s="488"/>
      <c r="E139" s="488"/>
      <c r="F139" s="488"/>
      <c r="G139" s="488"/>
      <c r="H139" s="655"/>
      <c r="I139" s="474"/>
      <c r="J139" s="473"/>
    </row>
    <row r="140" spans="1:12" s="479" customFormat="1" x14ac:dyDescent="0.25">
      <c r="A140" s="486" t="s">
        <v>742</v>
      </c>
      <c r="B140" s="608">
        <v>1.036</v>
      </c>
      <c r="C140" s="487"/>
      <c r="D140" s="488"/>
      <c r="E140" s="488"/>
      <c r="F140" s="488"/>
      <c r="G140" s="488"/>
      <c r="H140" s="655"/>
      <c r="I140" s="474"/>
      <c r="J140" s="473"/>
    </row>
    <row r="141" spans="1:12" s="479" customFormat="1" x14ac:dyDescent="0.25">
      <c r="A141" s="486" t="s">
        <v>743</v>
      </c>
      <c r="B141" s="608">
        <v>1.0369999999999999</v>
      </c>
      <c r="C141" s="487"/>
      <c r="D141" s="488"/>
      <c r="E141" s="488"/>
      <c r="F141" s="488"/>
      <c r="G141" s="488"/>
      <c r="H141" s="655"/>
      <c r="I141" s="474"/>
      <c r="J141" s="473"/>
    </row>
    <row r="142" spans="1:12" s="479" customFormat="1" x14ac:dyDescent="0.25">
      <c r="A142" s="486" t="s">
        <v>744</v>
      </c>
      <c r="B142" s="608"/>
      <c r="C142" s="487"/>
      <c r="D142" s="488"/>
      <c r="E142" s="488"/>
      <c r="F142" s="488"/>
      <c r="G142" s="488"/>
      <c r="H142" s="655"/>
      <c r="I142" s="474"/>
      <c r="J142" s="473"/>
    </row>
    <row r="143" spans="1:12" s="479" customFormat="1" x14ac:dyDescent="0.25">
      <c r="A143" s="486" t="s">
        <v>742</v>
      </c>
      <c r="B143" s="609">
        <v>1.00295</v>
      </c>
      <c r="C143" s="487"/>
      <c r="D143" s="488"/>
      <c r="E143" s="488"/>
      <c r="F143" s="488"/>
      <c r="G143" s="488"/>
      <c r="H143" s="655"/>
      <c r="I143" s="474"/>
      <c r="J143" s="473"/>
    </row>
    <row r="144" spans="1:12" s="479" customFormat="1" x14ac:dyDescent="0.25">
      <c r="A144" s="486" t="s">
        <v>743</v>
      </c>
      <c r="B144" s="609">
        <v>1.0030300000000001</v>
      </c>
      <c r="C144" s="487"/>
      <c r="D144" s="488"/>
      <c r="E144" s="488"/>
      <c r="F144" s="488"/>
      <c r="G144" s="488"/>
      <c r="H144" s="655"/>
      <c r="I144" s="474"/>
      <c r="J144" s="473"/>
    </row>
    <row r="145" spans="1:10" s="479" customFormat="1" x14ac:dyDescent="0.25">
      <c r="A145" s="480" t="s">
        <v>745</v>
      </c>
      <c r="B145" s="481"/>
      <c r="C145" s="481"/>
      <c r="D145" s="482"/>
      <c r="E145" s="482"/>
      <c r="F145" s="482"/>
      <c r="G145" s="482"/>
      <c r="H145" s="656"/>
      <c r="I145" s="474">
        <f>ROUND((1.00295^6+1.00295^11)/2,4)</f>
        <v>1.0254000000000001</v>
      </c>
      <c r="J145" s="484"/>
    </row>
    <row r="146" spans="1:10" s="479" customFormat="1" x14ac:dyDescent="0.25">
      <c r="A146" s="480" t="s">
        <v>747</v>
      </c>
      <c r="B146" s="481"/>
      <c r="C146" s="481"/>
      <c r="D146" s="482"/>
      <c r="E146" s="482"/>
      <c r="F146" s="482"/>
      <c r="G146" s="482"/>
      <c r="H146" s="656"/>
      <c r="I146" s="474">
        <f>ROUND(1.00295^11*(1.00303+1.00303^6)/2,4)</f>
        <v>1.044</v>
      </c>
      <c r="J146" s="485"/>
    </row>
    <row r="147" spans="1:10" s="479" customFormat="1" x14ac:dyDescent="0.25">
      <c r="A147" s="480" t="s">
        <v>748</v>
      </c>
      <c r="B147" s="486"/>
      <c r="C147" s="486"/>
      <c r="D147" s="488"/>
      <c r="E147" s="488"/>
      <c r="F147" s="488"/>
      <c r="G147" s="488"/>
      <c r="H147" s="655"/>
      <c r="I147" s="615">
        <f>ROUND(0.15*1+0.425*1.0254+0.425*1.044,4)</f>
        <v>1.0295000000000001</v>
      </c>
      <c r="J147" s="478"/>
    </row>
    <row r="148" spans="1:10" s="479" customFormat="1" x14ac:dyDescent="0.25">
      <c r="A148" s="490"/>
      <c r="B148" s="488"/>
      <c r="C148" s="482"/>
      <c r="D148" s="482"/>
      <c r="E148" s="482"/>
      <c r="F148" s="482"/>
      <c r="G148" s="482"/>
      <c r="H148" s="657"/>
      <c r="I148" s="474"/>
      <c r="J148" s="478"/>
    </row>
    <row r="149" spans="1:10" s="479" customFormat="1" x14ac:dyDescent="0.25">
      <c r="A149" s="494" t="s">
        <v>665</v>
      </c>
      <c r="B149" s="495"/>
      <c r="C149" s="474"/>
      <c r="D149" s="474"/>
      <c r="E149" s="474"/>
      <c r="F149" s="474"/>
      <c r="G149" s="474"/>
      <c r="H149" s="657"/>
      <c r="I149" s="474"/>
      <c r="J149" s="473"/>
    </row>
    <row r="150" spans="1:10" s="479" customFormat="1" x14ac:dyDescent="0.25">
      <c r="A150" s="494" t="s">
        <v>655</v>
      </c>
      <c r="B150" s="495"/>
      <c r="C150" s="474"/>
      <c r="D150" s="474"/>
      <c r="E150" s="474"/>
      <c r="F150" s="474"/>
      <c r="G150" s="474"/>
      <c r="H150" s="657"/>
      <c r="I150" s="474"/>
      <c r="J150" s="473"/>
    </row>
    <row r="151" spans="1:10" s="479" customFormat="1" x14ac:dyDescent="0.25">
      <c r="A151" s="486" t="s">
        <v>658</v>
      </c>
      <c r="B151" s="495"/>
      <c r="C151" s="474"/>
      <c r="D151" s="474"/>
      <c r="E151" s="474"/>
      <c r="F151" s="474"/>
      <c r="G151" s="474"/>
      <c r="H151" s="657"/>
      <c r="I151" s="492">
        <f>174.13/1.2*183*24*1</f>
        <v>637315.80000000005</v>
      </c>
      <c r="J151" s="492"/>
    </row>
    <row r="152" spans="1:10" s="479" customFormat="1" x14ac:dyDescent="0.25">
      <c r="A152" s="494" t="s">
        <v>656</v>
      </c>
      <c r="B152" s="495"/>
      <c r="C152" s="474"/>
      <c r="D152" s="474"/>
      <c r="E152" s="474"/>
      <c r="F152" s="474"/>
      <c r="G152" s="474"/>
      <c r="H152" s="657"/>
      <c r="I152" s="474"/>
      <c r="J152" s="485"/>
    </row>
    <row r="153" spans="1:10" s="479" customFormat="1" x14ac:dyDescent="0.25">
      <c r="A153" s="486" t="s">
        <v>659</v>
      </c>
      <c r="B153" s="495"/>
      <c r="C153" s="474"/>
      <c r="D153" s="474"/>
      <c r="E153" s="474"/>
      <c r="F153" s="474"/>
      <c r="G153" s="474"/>
      <c r="H153" s="657"/>
      <c r="I153" s="492">
        <f>177.35/1.2*1*24*182</f>
        <v>645554</v>
      </c>
      <c r="J153" s="492"/>
    </row>
    <row r="154" spans="1:10" s="479" customFormat="1" x14ac:dyDescent="0.25">
      <c r="A154" s="486" t="s">
        <v>666</v>
      </c>
      <c r="B154" s="495"/>
      <c r="C154" s="474"/>
      <c r="D154" s="474"/>
      <c r="E154" s="474"/>
      <c r="F154" s="474"/>
      <c r="G154" s="474"/>
      <c r="H154" s="657"/>
      <c r="I154" s="496">
        <f ca="1">SUM(I151:I154)</f>
        <v>37077502959.592041</v>
      </c>
      <c r="J154" s="493"/>
    </row>
    <row r="155" spans="1:10" x14ac:dyDescent="0.25">
      <c r="A155" s="312"/>
      <c r="B155" s="312"/>
      <c r="C155" s="312"/>
      <c r="D155" s="312"/>
      <c r="E155" s="312"/>
      <c r="F155" s="312"/>
      <c r="G155" s="312"/>
      <c r="H155" s="660"/>
      <c r="I155" s="312"/>
      <c r="J155" s="312"/>
    </row>
    <row r="156" spans="1:10" ht="23.45" customHeight="1" x14ac:dyDescent="0.25">
      <c r="A156" s="312"/>
      <c r="B156" s="312"/>
      <c r="C156" s="312"/>
      <c r="D156" s="312"/>
      <c r="E156" s="312"/>
      <c r="F156" s="312"/>
      <c r="G156" s="312"/>
      <c r="H156" s="661"/>
      <c r="I156" s="312"/>
      <c r="J156" s="312"/>
    </row>
    <row r="157" spans="1:10" ht="123.75" customHeight="1" thickBot="1" x14ac:dyDescent="0.3">
      <c r="A157" s="314" t="s">
        <v>475</v>
      </c>
      <c r="B157" s="314" t="s">
        <v>749</v>
      </c>
      <c r="C157" s="314" t="s">
        <v>476</v>
      </c>
      <c r="D157" s="314" t="s">
        <v>746</v>
      </c>
      <c r="E157" s="314" t="s">
        <v>477</v>
      </c>
      <c r="F157" s="314" t="s">
        <v>478</v>
      </c>
      <c r="G157" s="315">
        <v>0.05</v>
      </c>
      <c r="H157" s="648" t="s">
        <v>478</v>
      </c>
      <c r="I157" s="535"/>
      <c r="J157" s="312"/>
    </row>
    <row r="158" spans="1:10" s="500" customFormat="1" ht="15.75" customHeight="1" x14ac:dyDescent="0.25">
      <c r="A158" s="516" t="s">
        <v>483</v>
      </c>
      <c r="B158" s="627" t="e">
        <f>B81+B35+B124</f>
        <v>#REF!</v>
      </c>
      <c r="C158" s="517"/>
      <c r="D158" s="517" t="e">
        <f>D81+D35+D124</f>
        <v>#REF!</v>
      </c>
      <c r="E158" s="517"/>
      <c r="F158" s="517" t="e">
        <f>F81+F35+F124</f>
        <v>#REF!</v>
      </c>
      <c r="G158" s="517"/>
      <c r="H158" s="662" t="e">
        <f>H124+H35+H81</f>
        <v>#REF!</v>
      </c>
      <c r="I158" s="513"/>
      <c r="J158" s="617"/>
    </row>
    <row r="159" spans="1:10" s="500" customFormat="1" ht="40.5" hidden="1" customHeight="1" x14ac:dyDescent="0.25">
      <c r="A159" s="503" t="s">
        <v>756</v>
      </c>
      <c r="B159" s="628"/>
      <c r="C159" s="629"/>
      <c r="D159" s="629"/>
      <c r="E159" s="629"/>
      <c r="F159" s="629"/>
      <c r="G159" s="629"/>
      <c r="H159" s="663" t="e">
        <f>H125+H36+H82</f>
        <v>#REF!</v>
      </c>
      <c r="I159" s="513"/>
      <c r="J159" s="617"/>
    </row>
    <row r="160" spans="1:10" hidden="1" x14ac:dyDescent="0.25">
      <c r="A160" s="519" t="s">
        <v>46</v>
      </c>
      <c r="B160" s="564" t="e">
        <f>B83+B37+B126</f>
        <v>#REF!</v>
      </c>
      <c r="C160" s="317"/>
      <c r="D160" s="317" t="e">
        <f>D83+D37+D126</f>
        <v>#REF!</v>
      </c>
      <c r="E160" s="317"/>
      <c r="F160" s="317" t="e">
        <f>F83+F37+F126</f>
        <v>#REF!</v>
      </c>
      <c r="G160" s="317"/>
      <c r="H160" s="664" t="e">
        <f>H126+H37+H83</f>
        <v>#REF!</v>
      </c>
      <c r="I160" s="631"/>
      <c r="J160" s="622"/>
    </row>
    <row r="161" spans="1:10" s="500" customFormat="1" ht="15.75" thickBot="1" x14ac:dyDescent="0.3">
      <c r="A161" s="521" t="s">
        <v>484</v>
      </c>
      <c r="B161" s="565" t="e">
        <f>B84+B38+B127</f>
        <v>#REF!</v>
      </c>
      <c r="C161" s="522"/>
      <c r="D161" s="522" t="e">
        <f>D84+D38+D127</f>
        <v>#REF!</v>
      </c>
      <c r="E161" s="522"/>
      <c r="F161" s="522" t="e">
        <f>F84+F38+F127</f>
        <v>#REF!</v>
      </c>
      <c r="G161" s="522"/>
      <c r="H161" s="665" t="e">
        <f>H127+H38+H84</f>
        <v>#REF!</v>
      </c>
      <c r="I161" s="513"/>
      <c r="J161" s="618"/>
    </row>
    <row r="162" spans="1:10" s="500" customFormat="1" ht="15.75" x14ac:dyDescent="0.25">
      <c r="A162" s="632" t="s">
        <v>763</v>
      </c>
      <c r="B162" s="669"/>
      <c r="C162" s="515"/>
      <c r="D162" s="515"/>
      <c r="E162" s="515"/>
      <c r="F162" s="515"/>
      <c r="G162" s="515"/>
      <c r="H162" s="666" t="e">
        <f>H85+H128+H39</f>
        <v>#REF!</v>
      </c>
      <c r="I162" s="513"/>
      <c r="J162" s="618"/>
    </row>
    <row r="163" spans="1:10" s="500" customFormat="1" ht="15.75" x14ac:dyDescent="0.25">
      <c r="A163" s="632" t="s">
        <v>764</v>
      </c>
      <c r="B163" s="669"/>
      <c r="C163" s="515"/>
      <c r="D163" s="515"/>
      <c r="E163" s="515"/>
      <c r="F163" s="515"/>
      <c r="G163" s="515"/>
      <c r="H163" s="666" t="e">
        <f>H86+H129+H40</f>
        <v>#REF!</v>
      </c>
      <c r="I163" s="513"/>
      <c r="J163" s="618"/>
    </row>
    <row r="164" spans="1:10" s="500" customFormat="1" x14ac:dyDescent="0.25">
      <c r="A164" s="514"/>
      <c r="B164" s="515"/>
      <c r="C164" s="515"/>
      <c r="D164" s="515"/>
      <c r="E164" s="515"/>
      <c r="F164" s="515"/>
      <c r="G164" s="515"/>
      <c r="H164" s="666"/>
      <c r="I164" s="499"/>
      <c r="J164" s="624"/>
    </row>
    <row r="165" spans="1:10" s="334" customFormat="1" ht="20.25" customHeight="1" x14ac:dyDescent="0.2">
      <c r="A165" s="692" t="s">
        <v>714</v>
      </c>
      <c r="B165" s="693"/>
      <c r="C165" s="693"/>
      <c r="D165" s="693"/>
      <c r="E165" s="693"/>
      <c r="F165" s="693"/>
      <c r="G165" s="693"/>
      <c r="H165" s="693"/>
      <c r="J165" s="625"/>
    </row>
    <row r="166" spans="1:10" s="334" customFormat="1" ht="12.75" x14ac:dyDescent="0.2">
      <c r="A166" s="692" t="s">
        <v>487</v>
      </c>
      <c r="B166" s="693"/>
      <c r="C166" s="693"/>
      <c r="D166" s="693"/>
      <c r="E166" s="693"/>
      <c r="F166" s="693"/>
      <c r="G166" s="693"/>
      <c r="H166" s="693"/>
      <c r="I166" s="536"/>
      <c r="J166" s="625"/>
    </row>
    <row r="167" spans="1:10" s="334" customFormat="1" ht="20.25" customHeight="1" x14ac:dyDescent="0.2">
      <c r="A167" s="692" t="s">
        <v>715</v>
      </c>
      <c r="B167" s="693"/>
      <c r="C167" s="693"/>
      <c r="D167" s="693"/>
      <c r="E167" s="693"/>
      <c r="F167" s="693"/>
      <c r="G167" s="693"/>
      <c r="H167" s="693"/>
      <c r="J167" s="625"/>
    </row>
    <row r="168" spans="1:10" s="334" customFormat="1" ht="12.75" x14ac:dyDescent="0.2">
      <c r="A168" s="692" t="s">
        <v>485</v>
      </c>
      <c r="B168" s="693"/>
      <c r="C168" s="693"/>
      <c r="D168" s="693"/>
      <c r="E168" s="693"/>
      <c r="F168" s="693"/>
      <c r="G168" s="693"/>
      <c r="H168" s="693"/>
      <c r="I168" s="536"/>
      <c r="J168" s="625"/>
    </row>
    <row r="169" spans="1:10" s="334" customFormat="1" ht="12.75" x14ac:dyDescent="0.2">
      <c r="A169" s="692" t="s">
        <v>486</v>
      </c>
      <c r="B169" s="693"/>
      <c r="C169" s="693"/>
      <c r="D169" s="693"/>
      <c r="E169" s="693"/>
      <c r="F169" s="693"/>
      <c r="G169" s="693"/>
      <c r="H169" s="693"/>
      <c r="J169" s="625"/>
    </row>
    <row r="170" spans="1:10" s="334" customFormat="1" ht="12.75" x14ac:dyDescent="0.2">
      <c r="A170" s="692" t="s">
        <v>487</v>
      </c>
      <c r="B170" s="693"/>
      <c r="C170" s="693"/>
      <c r="D170" s="693"/>
      <c r="E170" s="693"/>
      <c r="F170" s="693"/>
      <c r="G170" s="693"/>
      <c r="H170" s="693"/>
      <c r="J170" s="625"/>
    </row>
    <row r="171" spans="1:10" s="334" customFormat="1" ht="12.75" x14ac:dyDescent="0.2">
      <c r="A171" s="640"/>
      <c r="B171" s="641"/>
      <c r="C171" s="641"/>
      <c r="D171" s="641"/>
      <c r="E171" s="641"/>
      <c r="F171" s="641"/>
      <c r="G171" s="641"/>
      <c r="H171" s="646"/>
      <c r="J171" s="625"/>
    </row>
    <row r="172" spans="1:10" x14ac:dyDescent="0.25">
      <c r="J172" s="626"/>
    </row>
    <row r="173" spans="1:10" x14ac:dyDescent="0.25">
      <c r="J173" s="626"/>
    </row>
    <row r="174" spans="1:10" ht="18.75" x14ac:dyDescent="0.3">
      <c r="A174" s="324"/>
      <c r="B174" s="324"/>
      <c r="C174" s="325"/>
      <c r="D174" s="325"/>
      <c r="E174" s="326"/>
      <c r="F174" s="326"/>
      <c r="J174" s="626"/>
    </row>
    <row r="175" spans="1:10" ht="18.75" x14ac:dyDescent="0.3">
      <c r="A175" s="327"/>
      <c r="B175" s="326"/>
      <c r="C175" s="328"/>
      <c r="D175" s="329"/>
      <c r="E175" s="328"/>
      <c r="H175" s="668"/>
      <c r="J175" s="626"/>
    </row>
    <row r="176" spans="1:10" ht="18" x14ac:dyDescent="0.25">
      <c r="A176" s="330"/>
      <c r="B176" s="331"/>
      <c r="C176" s="332"/>
      <c r="D176" s="332"/>
      <c r="E176" s="333"/>
      <c r="F176" s="333"/>
      <c r="I176" s="566"/>
    </row>
    <row r="177" spans="1:9" ht="18" x14ac:dyDescent="0.25">
      <c r="A177" s="330"/>
      <c r="B177" s="331"/>
      <c r="C177" s="332"/>
      <c r="D177" s="332"/>
      <c r="E177" s="333"/>
      <c r="F177" s="333"/>
    </row>
    <row r="180" spans="1:9" x14ac:dyDescent="0.25">
      <c r="I180" s="566"/>
    </row>
    <row r="184" spans="1:9" ht="3" customHeight="1" x14ac:dyDescent="0.25">
      <c r="H184" s="667" t="e">
        <f>H72+H26+H115</f>
        <v>#REF!</v>
      </c>
    </row>
    <row r="185" spans="1:9" hidden="1" x14ac:dyDescent="0.25">
      <c r="H185" s="667" t="e">
        <f>H184*1.2</f>
        <v>#REF!</v>
      </c>
    </row>
    <row r="186" spans="1:9" x14ac:dyDescent="0.25">
      <c r="I186" s="566"/>
    </row>
    <row r="190" spans="1:9" x14ac:dyDescent="0.25">
      <c r="I190" s="566"/>
    </row>
  </sheetData>
  <mergeCells count="42">
    <mergeCell ref="A6:H6"/>
    <mergeCell ref="A1:H1"/>
    <mergeCell ref="A2:H2"/>
    <mergeCell ref="A3:H3"/>
    <mergeCell ref="A4:H4"/>
    <mergeCell ref="A5:H5"/>
    <mergeCell ref="A20:H20"/>
    <mergeCell ref="A8:H8"/>
    <mergeCell ref="A9:H9"/>
    <mergeCell ref="A10:H10"/>
    <mergeCell ref="A11:H11"/>
    <mergeCell ref="A13:H13"/>
    <mergeCell ref="A14:H14"/>
    <mergeCell ref="A15:H15"/>
    <mergeCell ref="A16:H16"/>
    <mergeCell ref="A17:H17"/>
    <mergeCell ref="A18:H18"/>
    <mergeCell ref="A19:H19"/>
    <mergeCell ref="A92:H92"/>
    <mergeCell ref="A21:H21"/>
    <mergeCell ref="A22:H22"/>
    <mergeCell ref="A24:H24"/>
    <mergeCell ref="A44:H44"/>
    <mergeCell ref="A45:B45"/>
    <mergeCell ref="A48:B48"/>
    <mergeCell ref="A49:H49"/>
    <mergeCell ref="A70:H70"/>
    <mergeCell ref="A87:H87"/>
    <mergeCell ref="A88:B88"/>
    <mergeCell ref="A91:B91"/>
    <mergeCell ref="A170:H170"/>
    <mergeCell ref="A112:H112"/>
    <mergeCell ref="A113:H113"/>
    <mergeCell ref="A130:H130"/>
    <mergeCell ref="A131:B131"/>
    <mergeCell ref="A134:B134"/>
    <mergeCell ref="A135:H135"/>
    <mergeCell ref="A165:H165"/>
    <mergeCell ref="A166:H166"/>
    <mergeCell ref="A167:H167"/>
    <mergeCell ref="A168:H168"/>
    <mergeCell ref="A169:H169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colBreaks count="1" manualBreakCount="1">
    <brk id="8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0.39997558519241921"/>
  </sheetPr>
  <dimension ref="A1:L22"/>
  <sheetViews>
    <sheetView zoomScale="90" zoomScaleNormal="90" workbookViewId="0">
      <selection activeCell="C20" sqref="C20"/>
    </sheetView>
  </sheetViews>
  <sheetFormatPr defaultColWidth="9.140625" defaultRowHeight="15" x14ac:dyDescent="0.25"/>
  <cols>
    <col min="1" max="1" width="10.42578125" style="2" customWidth="1"/>
    <col min="2" max="2" width="9.140625" style="2"/>
    <col min="3" max="3" width="47.28515625" style="2" customWidth="1"/>
    <col min="4" max="4" width="11.85546875" style="2" bestFit="1" customWidth="1"/>
    <col min="5" max="5" width="9.140625" style="2"/>
    <col min="6" max="6" width="11.5703125" style="2" bestFit="1" customWidth="1"/>
    <col min="7" max="7" width="13.7109375" style="2" customWidth="1"/>
    <col min="8" max="16384" width="9.140625" style="2"/>
  </cols>
  <sheetData>
    <row r="1" spans="1:12" s="52" customFormat="1" ht="105" customHeight="1" x14ac:dyDescent="0.25">
      <c r="A1" s="776"/>
      <c r="B1" s="776"/>
      <c r="C1" s="776"/>
      <c r="D1" s="776"/>
      <c r="E1" s="776"/>
      <c r="F1" s="776"/>
      <c r="G1" s="776"/>
      <c r="H1" s="2"/>
      <c r="I1" s="226"/>
      <c r="J1" s="226"/>
      <c r="K1" s="226"/>
      <c r="L1" s="226"/>
    </row>
    <row r="2" spans="1:12" s="49" customFormat="1" ht="15.75" x14ac:dyDescent="0.25">
      <c r="A2" s="50"/>
      <c r="B2" s="354"/>
      <c r="C2" s="52"/>
      <c r="D2" s="52"/>
      <c r="E2" s="52"/>
      <c r="F2" s="52"/>
      <c r="G2" s="52"/>
      <c r="H2" s="2"/>
      <c r="I2" s="52"/>
      <c r="J2" s="52"/>
      <c r="K2" s="52"/>
      <c r="L2" s="52"/>
    </row>
    <row r="3" spans="1:12" s="53" customFormat="1" ht="15.75" x14ac:dyDescent="0.25">
      <c r="A3" s="746" t="s">
        <v>290</v>
      </c>
      <c r="B3" s="747"/>
      <c r="C3" s="747"/>
      <c r="D3" s="747"/>
      <c r="E3" s="747"/>
      <c r="F3" s="747"/>
      <c r="G3" s="747"/>
      <c r="H3" s="2"/>
      <c r="I3" s="227"/>
      <c r="J3" s="227"/>
      <c r="K3" s="227"/>
      <c r="L3" s="227"/>
    </row>
    <row r="5" spans="1:12" ht="15.75" x14ac:dyDescent="0.25">
      <c r="A5" s="777" t="s">
        <v>95</v>
      </c>
      <c r="B5" s="777"/>
      <c r="C5" s="777"/>
      <c r="D5" s="777"/>
      <c r="E5" s="777"/>
      <c r="F5" s="777"/>
      <c r="G5" s="777"/>
    </row>
    <row r="7" spans="1:12" s="23" customFormat="1" ht="12.75" x14ac:dyDescent="0.2">
      <c r="A7" s="386" t="s">
        <v>776</v>
      </c>
    </row>
    <row r="8" spans="1:12" x14ac:dyDescent="0.25">
      <c r="A8" s="6"/>
      <c r="E8" s="7"/>
    </row>
    <row r="9" spans="1:12" s="387" customFormat="1" ht="12.75" x14ac:dyDescent="0.25">
      <c r="C9" s="387" t="s">
        <v>88</v>
      </c>
      <c r="D9" s="388">
        <f>310.6*34.7</f>
        <v>10777.820000000002</v>
      </c>
      <c r="E9" s="389" t="s">
        <v>686</v>
      </c>
      <c r="F9" s="388"/>
      <c r="G9" s="388"/>
    </row>
    <row r="10" spans="1:12" s="387" customFormat="1" ht="12.75" x14ac:dyDescent="0.25">
      <c r="C10" s="387" t="s">
        <v>89</v>
      </c>
      <c r="D10" s="388">
        <v>310.60000000000002</v>
      </c>
      <c r="E10" s="389"/>
      <c r="F10" s="388"/>
      <c r="G10" s="388"/>
    </row>
    <row r="11" spans="1:12" s="387" customFormat="1" ht="12.75" x14ac:dyDescent="0.25">
      <c r="C11" s="387" t="s">
        <v>90</v>
      </c>
      <c r="D11" s="388">
        <v>34.700000000000003</v>
      </c>
      <c r="E11" s="389"/>
      <c r="F11" s="388"/>
      <c r="G11" s="388"/>
    </row>
    <row r="12" spans="1:12" s="1" customFormat="1" ht="30" x14ac:dyDescent="0.25">
      <c r="A12" s="367" t="s">
        <v>33</v>
      </c>
      <c r="B12" s="370"/>
      <c r="C12" s="380" t="s">
        <v>32</v>
      </c>
      <c r="D12" s="374" t="s">
        <v>29</v>
      </c>
      <c r="E12" s="368" t="s">
        <v>12</v>
      </c>
      <c r="F12" s="368" t="s">
        <v>13</v>
      </c>
      <c r="G12" s="369" t="s">
        <v>44</v>
      </c>
      <c r="I12" s="1">
        <f>[15]МГЭ!$I$4</f>
        <v>1.0055000000000001</v>
      </c>
    </row>
    <row r="13" spans="1:12" s="1" customFormat="1" ht="45" x14ac:dyDescent="0.25">
      <c r="A13" s="365" t="s">
        <v>91</v>
      </c>
      <c r="B13" s="371" t="s">
        <v>92</v>
      </c>
      <c r="C13" s="381" t="s">
        <v>93</v>
      </c>
      <c r="D13" s="375">
        <f>181935.27-F13</f>
        <v>176963.70319999999</v>
      </c>
      <c r="E13" s="48"/>
      <c r="F13" s="48">
        <f>4971566.8/1000</f>
        <v>4971.5667999999996</v>
      </c>
      <c r="G13" s="366">
        <f>D13+E13+F13</f>
        <v>181935.27</v>
      </c>
    </row>
    <row r="14" spans="1:12" s="8" customFormat="1" x14ac:dyDescent="0.25">
      <c r="A14" s="361"/>
      <c r="B14" s="372"/>
      <c r="C14" s="382" t="s">
        <v>31</v>
      </c>
      <c r="D14" s="376">
        <f>SUM(D13:D13)</f>
        <v>176963.70319999999</v>
      </c>
      <c r="E14" s="356">
        <f>SUM(E13:E13)</f>
        <v>0</v>
      </c>
      <c r="F14" s="356">
        <f>SUM(F13:F13)</f>
        <v>4971.5667999999996</v>
      </c>
      <c r="G14" s="362">
        <f>SUM(G13:G13)</f>
        <v>181935.27</v>
      </c>
    </row>
    <row r="15" spans="1:12" s="1" customFormat="1" x14ac:dyDescent="0.25">
      <c r="A15" s="42"/>
      <c r="B15" s="43"/>
      <c r="C15" s="383" t="s">
        <v>39</v>
      </c>
      <c r="D15" s="377">
        <f>D14*0.029</f>
        <v>5131.9473927999998</v>
      </c>
      <c r="E15" s="40"/>
      <c r="F15" s="40"/>
      <c r="G15" s="360">
        <f t="shared" ref="G15:G17" si="0">D15+E15+F15</f>
        <v>5131.9473927999998</v>
      </c>
    </row>
    <row r="16" spans="1:12" s="1" customFormat="1" x14ac:dyDescent="0.25">
      <c r="A16" s="42"/>
      <c r="B16" s="43"/>
      <c r="C16" s="383" t="s">
        <v>40</v>
      </c>
      <c r="D16" s="377">
        <f>D14*0.02</f>
        <v>3539.2740639999997</v>
      </c>
      <c r="E16" s="40"/>
      <c r="F16" s="40"/>
      <c r="G16" s="360">
        <f t="shared" si="0"/>
        <v>3539.2740639999997</v>
      </c>
    </row>
    <row r="17" spans="1:7" s="1" customFormat="1" x14ac:dyDescent="0.25">
      <c r="A17" s="42"/>
      <c r="B17" s="43"/>
      <c r="C17" s="383" t="s">
        <v>38</v>
      </c>
      <c r="D17" s="377">
        <f>D14*0.048</f>
        <v>8494.257753599999</v>
      </c>
      <c r="E17" s="40"/>
      <c r="F17" s="40"/>
      <c r="G17" s="360">
        <f t="shared" si="0"/>
        <v>8494.257753599999</v>
      </c>
    </row>
    <row r="18" spans="1:7" s="5" customFormat="1" ht="14.25" x14ac:dyDescent="0.25">
      <c r="A18" s="363"/>
      <c r="B18" s="373"/>
      <c r="C18" s="384" t="s">
        <v>502</v>
      </c>
      <c r="D18" s="378">
        <f>D14+D15+D16+D17</f>
        <v>194129.18241039998</v>
      </c>
      <c r="E18" s="41">
        <f t="shared" ref="E18:G18" si="1">E14+E15+E16+E17</f>
        <v>0</v>
      </c>
      <c r="F18" s="41">
        <f t="shared" si="1"/>
        <v>4971.5667999999996</v>
      </c>
      <c r="G18" s="364">
        <f t="shared" si="1"/>
        <v>199100.74921039998</v>
      </c>
    </row>
    <row r="19" spans="1:7" s="5" customFormat="1" ht="14.25" x14ac:dyDescent="0.25">
      <c r="A19" s="363"/>
      <c r="B19" s="373"/>
      <c r="C19" s="573" t="s">
        <v>503</v>
      </c>
      <c r="D19" s="378"/>
      <c r="E19" s="41"/>
      <c r="F19" s="41"/>
      <c r="G19" s="364"/>
    </row>
    <row r="20" spans="1:7" s="1" customFormat="1" x14ac:dyDescent="0.25">
      <c r="A20" s="42"/>
      <c r="B20" s="43"/>
      <c r="C20" s="574" t="s">
        <v>94</v>
      </c>
      <c r="D20" s="377"/>
      <c r="E20" s="40"/>
      <c r="F20" s="40"/>
      <c r="G20" s="360">
        <f>ROUND(G18*I12,2)</f>
        <v>200195.8</v>
      </c>
    </row>
    <row r="21" spans="1:7" s="1" customFormat="1" x14ac:dyDescent="0.25">
      <c r="A21" s="42"/>
      <c r="B21" s="43"/>
      <c r="C21" s="383" t="s">
        <v>87</v>
      </c>
      <c r="D21" s="377"/>
      <c r="E21" s="40"/>
      <c r="F21" s="40"/>
      <c r="G21" s="360">
        <f>ROUND(G20*1.02,2)</f>
        <v>204199.72</v>
      </c>
    </row>
    <row r="22" spans="1:7" s="1" customFormat="1" ht="30" x14ac:dyDescent="0.25">
      <c r="A22" s="44"/>
      <c r="B22" s="46"/>
      <c r="C22" s="385" t="s">
        <v>501</v>
      </c>
      <c r="D22" s="379"/>
      <c r="E22" s="45"/>
      <c r="F22" s="45"/>
      <c r="G22" s="390">
        <f>G21/D9</f>
        <v>18.946291550610418</v>
      </c>
    </row>
  </sheetData>
  <mergeCells count="3">
    <mergeCell ref="A1:G1"/>
    <mergeCell ref="A3:G3"/>
    <mergeCell ref="A5:G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L54"/>
  <sheetViews>
    <sheetView view="pageBreakPreview" topLeftCell="A20" zoomScale="90" zoomScaleNormal="110" zoomScaleSheetLayoutView="90" workbookViewId="0">
      <selection activeCell="J41" sqref="J41"/>
    </sheetView>
  </sheetViews>
  <sheetFormatPr defaultColWidth="9.140625" defaultRowHeight="15.75" x14ac:dyDescent="0.25"/>
  <cols>
    <col min="1" max="1" width="4" style="10" customWidth="1"/>
    <col min="2" max="2" width="10.5703125" style="10" customWidth="1"/>
    <col min="3" max="3" width="12.7109375" style="10" customWidth="1"/>
    <col min="4" max="4" width="10.85546875" style="10" customWidth="1"/>
    <col min="5" max="5" width="4" style="10" customWidth="1"/>
    <col min="6" max="6" width="18.85546875" style="10" bestFit="1" customWidth="1"/>
    <col min="7" max="7" width="15.85546875" style="10" customWidth="1"/>
    <col min="8" max="8" width="14.5703125" style="10" customWidth="1"/>
    <col min="9" max="9" width="14.7109375" style="10" customWidth="1"/>
    <col min="10" max="10" width="15.140625" style="10" customWidth="1"/>
    <col min="11" max="16384" width="9.140625" style="10"/>
  </cols>
  <sheetData>
    <row r="1" spans="1:12" s="52" customFormat="1" ht="90" customHeight="1" x14ac:dyDescent="0.25">
      <c r="A1" s="784"/>
      <c r="B1" s="784"/>
      <c r="C1" s="784"/>
      <c r="D1" s="784"/>
      <c r="E1" s="784"/>
      <c r="F1" s="784"/>
      <c r="G1" s="784"/>
      <c r="H1" s="784"/>
      <c r="I1" s="784"/>
      <c r="J1" s="784"/>
      <c r="K1" s="226"/>
      <c r="L1" s="226"/>
    </row>
    <row r="2" spans="1:12" s="49" customFormat="1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46" t="s">
        <v>504</v>
      </c>
      <c r="B3" s="747"/>
      <c r="C3" s="747"/>
      <c r="D3" s="747"/>
      <c r="E3" s="747"/>
      <c r="F3" s="747"/>
      <c r="G3" s="747"/>
      <c r="H3" s="747"/>
      <c r="I3" s="747"/>
      <c r="J3" s="747"/>
      <c r="K3" s="227"/>
      <c r="L3" s="227"/>
    </row>
    <row r="5" spans="1:12" ht="18.75" x14ac:dyDescent="0.3">
      <c r="B5" s="780" t="s">
        <v>47</v>
      </c>
      <c r="C5" s="780"/>
      <c r="D5" s="780"/>
      <c r="E5" s="780"/>
      <c r="F5" s="780"/>
      <c r="G5" s="780"/>
      <c r="H5" s="780"/>
      <c r="I5" s="780"/>
      <c r="J5" s="780"/>
    </row>
    <row r="6" spans="1:12" x14ac:dyDescent="0.25">
      <c r="B6" s="781" t="s">
        <v>48</v>
      </c>
      <c r="C6" s="781"/>
      <c r="D6" s="781"/>
      <c r="E6" s="781"/>
      <c r="F6" s="781"/>
      <c r="G6" s="781"/>
      <c r="H6" s="781"/>
      <c r="I6" s="781"/>
      <c r="J6" s="781"/>
    </row>
    <row r="8" spans="1:12" ht="108" customHeight="1" x14ac:dyDescent="0.25">
      <c r="B8" s="779" t="s">
        <v>49</v>
      </c>
      <c r="C8" s="779"/>
      <c r="D8" s="779"/>
      <c r="E8" s="779"/>
      <c r="F8" s="779"/>
      <c r="G8" s="779"/>
      <c r="H8" s="779"/>
      <c r="I8" s="779"/>
      <c r="J8" s="779"/>
    </row>
    <row r="9" spans="1:12" ht="21.75" customHeight="1" x14ac:dyDescent="0.25">
      <c r="B9" s="783"/>
      <c r="C9" s="783"/>
      <c r="D9" s="783"/>
      <c r="E9" s="783"/>
      <c r="F9" s="783"/>
      <c r="G9" s="783"/>
      <c r="H9" s="783"/>
      <c r="I9" s="783"/>
      <c r="J9" s="783"/>
      <c r="K9" s="783"/>
      <c r="L9" s="783"/>
    </row>
    <row r="10" spans="1:12" x14ac:dyDescent="0.25">
      <c r="A10" s="778" t="s">
        <v>50</v>
      </c>
      <c r="B10" s="778"/>
      <c r="C10" s="778"/>
      <c r="D10" s="778"/>
      <c r="E10" s="778"/>
      <c r="F10" s="778"/>
      <c r="G10" s="778"/>
      <c r="H10" s="778"/>
      <c r="I10" s="778"/>
      <c r="J10" s="778"/>
    </row>
    <row r="11" spans="1:12" x14ac:dyDescent="0.25">
      <c r="B11" s="11"/>
    </row>
    <row r="12" spans="1:12" s="14" customFormat="1" ht="19.5" customHeight="1" x14ac:dyDescent="0.25">
      <c r="A12" s="12" t="s">
        <v>20</v>
      </c>
      <c r="B12" s="13" t="s">
        <v>51</v>
      </c>
    </row>
    <row r="13" spans="1:12" s="18" customFormat="1" ht="12" customHeight="1" x14ac:dyDescent="0.25">
      <c r="A13" s="15"/>
      <c r="B13" s="16"/>
      <c r="C13" s="16"/>
      <c r="D13" s="16"/>
      <c r="E13" s="16"/>
      <c r="F13" s="16"/>
      <c r="G13" s="16"/>
      <c r="H13" s="17"/>
      <c r="I13" s="15"/>
      <c r="J13" s="15"/>
    </row>
    <row r="15" spans="1:12" ht="36.75" customHeight="1" x14ac:dyDescent="0.25">
      <c r="A15" s="782" t="s">
        <v>52</v>
      </c>
      <c r="B15" s="782"/>
      <c r="C15" s="782"/>
      <c r="D15" s="782"/>
      <c r="E15" s="782"/>
      <c r="F15" s="782"/>
      <c r="G15" s="782"/>
      <c r="H15" s="782"/>
      <c r="I15" s="782"/>
      <c r="J15" s="19"/>
    </row>
    <row r="16" spans="1:12" s="14" customFormat="1" ht="36.75" customHeight="1" x14ac:dyDescent="0.25">
      <c r="B16" s="20" t="s">
        <v>53</v>
      </c>
      <c r="C16" s="779" t="s">
        <v>819</v>
      </c>
      <c r="D16" s="779"/>
      <c r="E16" s="779"/>
      <c r="F16" s="779"/>
      <c r="G16" s="779"/>
      <c r="H16" s="779"/>
      <c r="I16" s="779"/>
      <c r="J16" s="20"/>
    </row>
    <row r="17" spans="1:12" s="14" customFormat="1" ht="18" customHeight="1" x14ac:dyDescent="0.25">
      <c r="B17" s="20"/>
      <c r="C17" s="785"/>
      <c r="D17" s="785"/>
      <c r="E17" s="785"/>
      <c r="F17" s="785"/>
      <c r="G17" s="785"/>
      <c r="H17" s="785"/>
      <c r="I17" s="785"/>
      <c r="J17" s="785"/>
    </row>
    <row r="18" spans="1:12" s="14" customFormat="1" ht="15.75" customHeight="1" x14ac:dyDescent="0.25">
      <c r="B18" s="785" t="s">
        <v>55</v>
      </c>
      <c r="C18" s="785"/>
      <c r="D18" s="785"/>
      <c r="E18" s="785"/>
      <c r="F18" s="21" t="s">
        <v>789</v>
      </c>
      <c r="G18" s="21"/>
      <c r="H18" s="21"/>
      <c r="I18" s="21"/>
      <c r="J18" s="21"/>
    </row>
    <row r="19" spans="1:12" s="14" customFormat="1" ht="18" customHeight="1" x14ac:dyDescent="0.25">
      <c r="B19" s="20"/>
      <c r="C19" s="785" t="s">
        <v>57</v>
      </c>
      <c r="D19" s="785"/>
      <c r="E19" s="785"/>
      <c r="F19" s="785"/>
      <c r="G19" s="785"/>
      <c r="H19" s="785"/>
      <c r="I19" s="785"/>
      <c r="J19" s="785"/>
    </row>
    <row r="21" spans="1:12" x14ac:dyDescent="0.25">
      <c r="A21" s="778" t="s">
        <v>58</v>
      </c>
      <c r="B21" s="778"/>
      <c r="C21" s="778"/>
      <c r="D21" s="778"/>
      <c r="E21" s="778"/>
      <c r="F21" s="778"/>
      <c r="G21" s="778"/>
      <c r="H21" s="778"/>
      <c r="I21" s="778"/>
      <c r="J21" s="778"/>
    </row>
    <row r="23" spans="1:12" s="23" customFormat="1" ht="12.75" x14ac:dyDescent="0.2">
      <c r="A23" s="22" t="s">
        <v>20</v>
      </c>
      <c r="B23" s="23" t="s">
        <v>59</v>
      </c>
      <c r="E23" s="24"/>
      <c r="F23" s="24"/>
      <c r="G23" s="24">
        <v>4.1000000000000002E-2</v>
      </c>
      <c r="H23" s="23" t="s">
        <v>790</v>
      </c>
    </row>
    <row r="24" spans="1:12" s="23" customFormat="1" ht="12.75" x14ac:dyDescent="0.2">
      <c r="A24" s="22" t="s">
        <v>21</v>
      </c>
      <c r="F24" s="24"/>
      <c r="G24" s="24">
        <v>0.01</v>
      </c>
      <c r="L24" s="23">
        <v>1.1152</v>
      </c>
    </row>
    <row r="25" spans="1:12" s="23" customFormat="1" ht="12.75" x14ac:dyDescent="0.2">
      <c r="A25" s="22" t="s">
        <v>63</v>
      </c>
      <c r="F25" s="25"/>
      <c r="G25" s="25">
        <v>0.01</v>
      </c>
    </row>
    <row r="26" spans="1:12" s="23" customFormat="1" ht="12.75" x14ac:dyDescent="0.2">
      <c r="A26" s="22" t="s">
        <v>66</v>
      </c>
      <c r="G26" s="25"/>
    </row>
    <row r="27" spans="1:12" s="23" customFormat="1" ht="12.75" x14ac:dyDescent="0.2">
      <c r="A27" s="22" t="s">
        <v>69</v>
      </c>
      <c r="B27" s="23" t="s">
        <v>791</v>
      </c>
      <c r="G27" s="26">
        <v>1.1152</v>
      </c>
      <c r="H27" s="23" t="s">
        <v>71</v>
      </c>
    </row>
    <row r="29" spans="1:12" x14ac:dyDescent="0.25">
      <c r="B29" s="27" t="s">
        <v>72</v>
      </c>
    </row>
    <row r="30" spans="1:12" ht="13.5" customHeight="1" x14ac:dyDescent="0.25"/>
    <row r="31" spans="1:12" s="30" customFormat="1" ht="12.75" x14ac:dyDescent="0.2">
      <c r="A31" s="28"/>
      <c r="B31" s="28" t="s">
        <v>73</v>
      </c>
      <c r="C31" s="28"/>
      <c r="D31" s="28"/>
      <c r="E31" s="28"/>
      <c r="F31" s="28" t="s">
        <v>74</v>
      </c>
      <c r="G31" s="29" t="s">
        <v>11</v>
      </c>
      <c r="H31" s="29" t="s">
        <v>12</v>
      </c>
      <c r="I31" s="29" t="s">
        <v>13</v>
      </c>
      <c r="J31" s="29" t="s">
        <v>75</v>
      </c>
    </row>
    <row r="32" spans="1:12" s="23" customFormat="1" ht="12.75" x14ac:dyDescent="0.2">
      <c r="B32" s="670" t="s">
        <v>76</v>
      </c>
      <c r="C32" s="31"/>
      <c r="D32" s="31"/>
      <c r="E32" s="31"/>
      <c r="F32" s="32" t="s">
        <v>792</v>
      </c>
      <c r="G32" s="33">
        <v>889200</v>
      </c>
      <c r="H32" s="33"/>
      <c r="I32" s="33"/>
      <c r="J32" s="33">
        <f>G32+H32+I32</f>
        <v>889200</v>
      </c>
    </row>
    <row r="33" spans="1:10" s="23" customFormat="1" ht="12.75" x14ac:dyDescent="0.2">
      <c r="B33" s="670" t="s">
        <v>77</v>
      </c>
      <c r="C33" s="31"/>
      <c r="D33" s="31"/>
      <c r="E33" s="31"/>
      <c r="F33" s="32" t="s">
        <v>820</v>
      </c>
      <c r="G33" s="33">
        <f>3246200</f>
        <v>3246200</v>
      </c>
      <c r="H33" s="33"/>
      <c r="I33" s="33"/>
      <c r="J33" s="33">
        <f>G33+H33+I33</f>
        <v>3246200</v>
      </c>
    </row>
    <row r="34" spans="1:10" s="23" customFormat="1" ht="12.75" x14ac:dyDescent="0.2">
      <c r="B34" s="670" t="s">
        <v>78</v>
      </c>
      <c r="C34" s="31"/>
      <c r="D34" s="31"/>
      <c r="E34" s="31"/>
      <c r="F34" s="32" t="s">
        <v>820</v>
      </c>
      <c r="G34" s="33">
        <f>134320</f>
        <v>134320</v>
      </c>
      <c r="H34" s="33">
        <v>1439750</v>
      </c>
      <c r="I34" s="33"/>
      <c r="J34" s="33">
        <f>G34+H34+I34</f>
        <v>1574070</v>
      </c>
    </row>
    <row r="35" spans="1:10" s="23" customFormat="1" ht="12.75" x14ac:dyDescent="0.2">
      <c r="B35" s="31"/>
      <c r="C35" s="31"/>
      <c r="D35" s="31"/>
      <c r="E35" s="31"/>
      <c r="F35" s="32"/>
      <c r="G35" s="33"/>
      <c r="H35" s="33"/>
      <c r="I35" s="33"/>
      <c r="J35" s="33"/>
    </row>
    <row r="36" spans="1:10" s="23" customFormat="1" ht="12.75" x14ac:dyDescent="0.2">
      <c r="B36" s="670" t="s">
        <v>793</v>
      </c>
      <c r="C36" s="31"/>
      <c r="D36" s="31"/>
      <c r="E36" s="31"/>
      <c r="F36" s="32" t="s">
        <v>794</v>
      </c>
      <c r="G36" s="33">
        <v>86961.25</v>
      </c>
      <c r="H36" s="33"/>
      <c r="I36" s="33"/>
      <c r="J36" s="33">
        <f>G36+H36+I36</f>
        <v>86961.25</v>
      </c>
    </row>
    <row r="37" spans="1:10" s="23" customFormat="1" ht="12.75" x14ac:dyDescent="0.2">
      <c r="B37" s="31"/>
      <c r="C37" s="31"/>
      <c r="D37" s="31"/>
      <c r="E37" s="31"/>
      <c r="F37" s="32"/>
      <c r="G37" s="33"/>
      <c r="H37" s="33"/>
      <c r="I37" s="33"/>
      <c r="J37" s="33"/>
    </row>
    <row r="38" spans="1:10" s="23" customFormat="1" ht="12.75" x14ac:dyDescent="0.2">
      <c r="B38" s="31"/>
      <c r="C38" s="31"/>
      <c r="D38" s="31"/>
      <c r="E38" s="31"/>
      <c r="F38" s="32"/>
      <c r="G38" s="33"/>
      <c r="H38" s="33"/>
      <c r="I38" s="33"/>
      <c r="J38" s="33"/>
    </row>
    <row r="39" spans="1:10" s="23" customFormat="1" ht="12.75" x14ac:dyDescent="0.2">
      <c r="B39" s="31"/>
      <c r="C39" s="31"/>
      <c r="D39" s="31"/>
      <c r="E39" s="31"/>
      <c r="F39" s="32"/>
      <c r="G39" s="33"/>
      <c r="H39" s="33"/>
      <c r="I39" s="33"/>
      <c r="J39" s="33"/>
    </row>
    <row r="40" spans="1:10" s="23" customFormat="1" ht="12.75" x14ac:dyDescent="0.2">
      <c r="B40" s="31"/>
      <c r="C40" s="31"/>
      <c r="D40" s="31"/>
      <c r="E40" s="31"/>
      <c r="F40" s="32"/>
      <c r="G40" s="33"/>
      <c r="H40" s="33"/>
      <c r="I40" s="33"/>
      <c r="J40" s="33"/>
    </row>
    <row r="41" spans="1:10" s="23" customFormat="1" ht="12.75" x14ac:dyDescent="0.2">
      <c r="B41" s="31"/>
      <c r="C41" s="31"/>
      <c r="D41" s="31"/>
      <c r="E41" s="31"/>
      <c r="F41" s="32"/>
      <c r="G41" s="34">
        <f t="shared" ref="G41:I41" si="0">SUM(G32:G40)</f>
        <v>4356681.25</v>
      </c>
      <c r="H41" s="34">
        <f t="shared" si="0"/>
        <v>1439750</v>
      </c>
      <c r="I41" s="34">
        <f t="shared" si="0"/>
        <v>0</v>
      </c>
      <c r="J41" s="34">
        <f>SUM(J32:J40)</f>
        <v>5796431.25</v>
      </c>
    </row>
    <row r="42" spans="1:10" s="12" customFormat="1" ht="24" customHeight="1" x14ac:dyDescent="0.25">
      <c r="A42" s="35"/>
      <c r="B42" s="35"/>
      <c r="C42" s="35"/>
      <c r="D42" s="35"/>
      <c r="I42" s="36"/>
    </row>
    <row r="44" spans="1:10" x14ac:dyDescent="0.25">
      <c r="A44" s="778" t="s">
        <v>79</v>
      </c>
      <c r="B44" s="778"/>
      <c r="C44" s="778"/>
      <c r="D44" s="778"/>
      <c r="E44" s="778"/>
      <c r="F44" s="778"/>
      <c r="G44" s="778"/>
      <c r="H44" s="778"/>
      <c r="I44" s="778"/>
      <c r="J44" s="778"/>
    </row>
    <row r="46" spans="1:10" s="37" customFormat="1" x14ac:dyDescent="0.25">
      <c r="B46" s="37" t="s">
        <v>80</v>
      </c>
      <c r="D46" s="37" t="s">
        <v>81</v>
      </c>
      <c r="F46" s="38">
        <f>F53</f>
        <v>6799941.3899999997</v>
      </c>
    </row>
    <row r="47" spans="1:10" s="23" customFormat="1" ht="12.75" x14ac:dyDescent="0.2">
      <c r="B47" s="23" t="s">
        <v>82</v>
      </c>
      <c r="F47" s="39">
        <f>J41</f>
        <v>5796431.25</v>
      </c>
    </row>
    <row r="48" spans="1:10" s="23" customFormat="1" ht="12.75" x14ac:dyDescent="0.2">
      <c r="F48" s="39"/>
    </row>
    <row r="49" spans="2:6" s="23" customFormat="1" ht="12.75" x14ac:dyDescent="0.2">
      <c r="F49" s="39"/>
    </row>
    <row r="50" spans="2:6" s="23" customFormat="1" ht="12.75" x14ac:dyDescent="0.2">
      <c r="B50" s="23" t="s">
        <v>785</v>
      </c>
      <c r="F50" s="39">
        <f>ROUND(G41*0.041,2)</f>
        <v>178623.93</v>
      </c>
    </row>
    <row r="51" spans="2:6" s="23" customFormat="1" ht="12.75" x14ac:dyDescent="0.2">
      <c r="B51" s="23" t="s">
        <v>798</v>
      </c>
      <c r="F51" s="39">
        <f>ROUND((G41+F50)*0.027,2)</f>
        <v>122453.24</v>
      </c>
    </row>
    <row r="52" spans="2:6" s="23" customFormat="1" ht="12.75" x14ac:dyDescent="0.2">
      <c r="F52" s="39"/>
    </row>
    <row r="53" spans="2:6" s="23" customFormat="1" ht="12.75" x14ac:dyDescent="0.2">
      <c r="B53" s="575" t="s">
        <v>799</v>
      </c>
      <c r="F53" s="39">
        <f>ROUND((F47+F48+F49+F50+F51)*L24,2)</f>
        <v>6799941.3899999997</v>
      </c>
    </row>
    <row r="54" spans="2:6" s="23" customFormat="1" ht="12.75" x14ac:dyDescent="0.2">
      <c r="F54" s="39"/>
    </row>
  </sheetData>
  <mergeCells count="14">
    <mergeCell ref="A1:J1"/>
    <mergeCell ref="A3:J3"/>
    <mergeCell ref="C17:J17"/>
    <mergeCell ref="B18:E18"/>
    <mergeCell ref="C19:J19"/>
    <mergeCell ref="A21:J21"/>
    <mergeCell ref="A44:J44"/>
    <mergeCell ref="C16:I16"/>
    <mergeCell ref="B5:J5"/>
    <mergeCell ref="B6:J6"/>
    <mergeCell ref="B8:J8"/>
    <mergeCell ref="A10:J10"/>
    <mergeCell ref="A15:I15"/>
    <mergeCell ref="B9:L9"/>
  </mergeCells>
  <pageMargins left="0.51181102362204722" right="0.51181102362204722" top="0.74803149606299213" bottom="0.74803149606299213" header="0.31496062992125984" footer="0.31496062992125984"/>
  <pageSetup paperSize="9" scale="66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  <pageSetUpPr fitToPage="1"/>
  </sheetPr>
  <dimension ref="A1:T71"/>
  <sheetViews>
    <sheetView showGridLines="0" view="pageBreakPreview" zoomScale="70" zoomScaleNormal="100" zoomScaleSheetLayoutView="70" workbookViewId="0">
      <selection activeCell="D5" sqref="D5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20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20" x14ac:dyDescent="0.25">
      <c r="A2" s="50"/>
      <c r="B2" s="51"/>
      <c r="C2" s="52"/>
      <c r="D2" s="52"/>
      <c r="E2" s="52"/>
      <c r="F2" s="52" t="s">
        <v>812</v>
      </c>
      <c r="G2" s="52"/>
      <c r="H2" s="52"/>
      <c r="I2" s="52"/>
      <c r="J2" s="52"/>
      <c r="K2" s="52"/>
      <c r="L2" s="52"/>
    </row>
    <row r="3" spans="1:20" s="53" customFormat="1" x14ac:dyDescent="0.25">
      <c r="A3" s="746" t="s">
        <v>291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20" s="53" customFormat="1" ht="21" customHeight="1" x14ac:dyDescent="0.25">
      <c r="A4" s="748"/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20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20" ht="13.5" customHeight="1" x14ac:dyDescent="0.25">
      <c r="A6" s="54" t="s">
        <v>97</v>
      </c>
      <c r="B6" s="751" t="s">
        <v>98</v>
      </c>
      <c r="C6" s="752"/>
      <c r="D6" s="757" t="s">
        <v>819</v>
      </c>
      <c r="E6" s="758"/>
      <c r="F6" s="758"/>
      <c r="G6" s="758"/>
      <c r="H6" s="759"/>
      <c r="I6" s="751" t="s">
        <v>100</v>
      </c>
      <c r="J6" s="755"/>
      <c r="K6" s="755"/>
      <c r="L6" s="752"/>
    </row>
    <row r="7" spans="1:20" ht="59.25" customHeight="1" x14ac:dyDescent="0.25">
      <c r="A7" s="55" t="s">
        <v>19</v>
      </c>
      <c r="B7" s="753"/>
      <c r="C7" s="754"/>
      <c r="D7" s="760"/>
      <c r="E7" s="761"/>
      <c r="F7" s="761"/>
      <c r="G7" s="761"/>
      <c r="H7" s="762"/>
      <c r="I7" s="753" t="s">
        <v>96</v>
      </c>
      <c r="J7" s="756"/>
      <c r="K7" s="756"/>
      <c r="L7" s="754"/>
    </row>
    <row r="8" spans="1:20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20" x14ac:dyDescent="0.25">
      <c r="A9" s="50" t="s">
        <v>102</v>
      </c>
      <c r="B9" s="721" t="s">
        <v>811</v>
      </c>
      <c r="C9" s="721"/>
      <c r="D9" s="61"/>
      <c r="E9" s="61"/>
      <c r="F9" s="62">
        <f>17+23</f>
        <v>40</v>
      </c>
      <c r="G9" s="62" t="s">
        <v>103</v>
      </c>
      <c r="H9" s="61"/>
      <c r="I9" s="774">
        <f>17+17+40</f>
        <v>74</v>
      </c>
      <c r="J9" s="774"/>
      <c r="K9" s="774"/>
      <c r="L9" s="775"/>
      <c r="N9" s="49">
        <f>30*2*0.3</f>
        <v>18</v>
      </c>
      <c r="O9" s="49" t="s">
        <v>750</v>
      </c>
      <c r="P9" s="49" t="s">
        <v>755</v>
      </c>
      <c r="T9" s="49" t="s">
        <v>752</v>
      </c>
    </row>
    <row r="10" spans="1:20" x14ac:dyDescent="0.25">
      <c r="A10" s="50"/>
      <c r="B10" s="721"/>
      <c r="C10" s="721"/>
      <c r="D10" s="62"/>
      <c r="E10" s="62"/>
      <c r="F10" s="62"/>
      <c r="G10" s="62"/>
      <c r="H10" s="62"/>
      <c r="I10" s="774"/>
      <c r="J10" s="774"/>
      <c r="K10" s="774"/>
      <c r="L10" s="775"/>
      <c r="N10" s="49">
        <f>26*2*0.3</f>
        <v>15.6</v>
      </c>
      <c r="O10" s="49" t="s">
        <v>750</v>
      </c>
      <c r="P10" s="49" t="s">
        <v>751</v>
      </c>
      <c r="T10" s="49" t="s">
        <v>752</v>
      </c>
    </row>
    <row r="11" spans="1:20" x14ac:dyDescent="0.25">
      <c r="A11" s="50"/>
      <c r="B11" s="721"/>
      <c r="C11" s="721"/>
      <c r="D11" s="62"/>
      <c r="E11" s="62"/>
      <c r="F11" s="62"/>
      <c r="G11" s="62"/>
      <c r="H11" s="62"/>
      <c r="I11" s="62"/>
      <c r="J11" s="62"/>
      <c r="K11" s="62"/>
      <c r="L11" s="63"/>
    </row>
    <row r="12" spans="1:20" x14ac:dyDescent="0.25">
      <c r="A12" s="50" t="s">
        <v>104</v>
      </c>
      <c r="B12" s="721"/>
      <c r="C12" s="721"/>
      <c r="D12" s="774"/>
      <c r="E12" s="774"/>
      <c r="F12" s="774"/>
      <c r="G12" s="774"/>
      <c r="H12" s="774"/>
      <c r="I12" s="774"/>
      <c r="J12" s="774"/>
      <c r="K12" s="774"/>
      <c r="L12" s="775"/>
    </row>
    <row r="13" spans="1:20" ht="33.75" customHeight="1" x14ac:dyDescent="0.25">
      <c r="A13" s="64">
        <v>2</v>
      </c>
      <c r="B13" s="741" t="s">
        <v>822</v>
      </c>
      <c r="C13" s="721"/>
      <c r="D13" s="742">
        <f>D15+D16+D17+F18</f>
        <v>2280.8209999999999</v>
      </c>
      <c r="E13" s="742"/>
      <c r="F13" s="742"/>
      <c r="G13" s="742"/>
      <c r="H13" s="742"/>
      <c r="I13" s="742">
        <f>(I15+I16+I17+I18+I19+I20+I21)</f>
        <v>4506.4461318000003</v>
      </c>
      <c r="J13" s="742"/>
      <c r="K13" s="742"/>
      <c r="L13" s="743"/>
    </row>
    <row r="14" spans="1:20" x14ac:dyDescent="0.25">
      <c r="A14" s="65"/>
      <c r="B14" s="735" t="s">
        <v>106</v>
      </c>
      <c r="C14" s="735"/>
      <c r="D14" s="66"/>
      <c r="E14" s="736"/>
      <c r="F14" s="736"/>
      <c r="G14" s="736"/>
      <c r="H14" s="736"/>
      <c r="I14" s="736"/>
      <c r="J14" s="68"/>
      <c r="K14" s="68"/>
      <c r="L14" s="69"/>
    </row>
    <row r="15" spans="1:20" x14ac:dyDescent="0.25">
      <c r="A15" s="65"/>
      <c r="B15" s="735" t="s">
        <v>107</v>
      </c>
      <c r="C15" s="735"/>
      <c r="D15" s="736">
        <f>C35</f>
        <v>2280.8209999999999</v>
      </c>
      <c r="E15" s="736"/>
      <c r="F15" s="736"/>
      <c r="G15" s="736"/>
      <c r="H15" s="736"/>
      <c r="I15" s="736">
        <f>H35</f>
        <v>4219.5188500000004</v>
      </c>
      <c r="J15" s="736"/>
      <c r="K15" s="736"/>
      <c r="L15" s="773"/>
    </row>
    <row r="16" spans="1:20" x14ac:dyDescent="0.25">
      <c r="A16" s="65"/>
      <c r="B16" s="735" t="s">
        <v>108</v>
      </c>
      <c r="C16" s="735"/>
      <c r="D16" s="736">
        <f>D35</f>
        <v>0</v>
      </c>
      <c r="E16" s="736"/>
      <c r="F16" s="736"/>
      <c r="G16" s="736"/>
      <c r="H16" s="736"/>
      <c r="I16" s="736">
        <v>0</v>
      </c>
      <c r="J16" s="736"/>
      <c r="K16" s="736"/>
      <c r="L16" s="773"/>
    </row>
    <row r="17" spans="1:12" x14ac:dyDescent="0.25">
      <c r="A17" s="65"/>
      <c r="B17" s="735" t="s">
        <v>109</v>
      </c>
      <c r="C17" s="735"/>
      <c r="D17" s="736">
        <f>E35</f>
        <v>0</v>
      </c>
      <c r="E17" s="736"/>
      <c r="F17" s="736"/>
      <c r="G17" s="736"/>
      <c r="H17" s="736"/>
      <c r="I17" s="736">
        <v>0</v>
      </c>
      <c r="J17" s="736"/>
      <c r="K17" s="736"/>
      <c r="L17" s="773"/>
    </row>
    <row r="18" spans="1:12" x14ac:dyDescent="0.25">
      <c r="A18" s="65"/>
      <c r="B18" s="70" t="s">
        <v>110</v>
      </c>
      <c r="C18" s="70"/>
      <c r="D18" s="736">
        <f>F35</f>
        <v>0</v>
      </c>
      <c r="E18" s="736"/>
      <c r="F18" s="736">
        <f>F35</f>
        <v>0</v>
      </c>
      <c r="G18" s="736"/>
      <c r="H18" s="736"/>
      <c r="I18" s="736">
        <f>K35</f>
        <v>0</v>
      </c>
      <c r="J18" s="736"/>
      <c r="K18" s="736"/>
      <c r="L18" s="773"/>
    </row>
    <row r="19" spans="1:12" x14ac:dyDescent="0.25">
      <c r="A19" s="65"/>
      <c r="B19" s="70" t="s">
        <v>785</v>
      </c>
      <c r="C19" s="70"/>
      <c r="D19" s="66"/>
      <c r="E19" s="66"/>
      <c r="F19" s="66"/>
      <c r="G19" s="66"/>
      <c r="H19" s="66"/>
      <c r="I19" s="736">
        <f>I15*0.041</f>
        <v>173.00027285000002</v>
      </c>
      <c r="J19" s="736"/>
      <c r="K19" s="736"/>
      <c r="L19" s="773"/>
    </row>
    <row r="20" spans="1:12" x14ac:dyDescent="0.25">
      <c r="A20" s="65"/>
      <c r="B20" s="70" t="s">
        <v>798</v>
      </c>
      <c r="C20" s="70"/>
      <c r="D20" s="66"/>
      <c r="E20" s="66"/>
      <c r="F20" s="66"/>
      <c r="G20" s="66"/>
      <c r="H20" s="66"/>
      <c r="I20" s="736">
        <f>I15*0.027</f>
        <v>113.92700895000002</v>
      </c>
      <c r="J20" s="736"/>
      <c r="K20" s="736"/>
      <c r="L20" s="773"/>
    </row>
    <row r="21" spans="1:12" x14ac:dyDescent="0.25">
      <c r="A21" s="65"/>
      <c r="B21" s="70"/>
      <c r="C21" s="70"/>
      <c r="D21" s="66"/>
      <c r="E21" s="66"/>
      <c r="F21" s="66"/>
      <c r="G21" s="66"/>
      <c r="H21" s="66"/>
      <c r="I21" s="736"/>
      <c r="J21" s="736"/>
      <c r="K21" s="736"/>
      <c r="L21" s="773"/>
    </row>
    <row r="22" spans="1:12" x14ac:dyDescent="0.25">
      <c r="A22" s="65"/>
      <c r="B22" s="70"/>
      <c r="C22" s="70"/>
      <c r="D22" s="66"/>
      <c r="E22" s="66"/>
      <c r="F22" s="66"/>
      <c r="G22" s="66"/>
      <c r="H22" s="66"/>
      <c r="I22" s="736"/>
      <c r="J22" s="736"/>
      <c r="K22" s="736"/>
      <c r="L22" s="773"/>
    </row>
    <row r="23" spans="1:12" s="103" customFormat="1" x14ac:dyDescent="0.25">
      <c r="A23" s="107"/>
      <c r="B23" s="571" t="s">
        <v>796</v>
      </c>
      <c r="C23" s="106"/>
      <c r="D23" s="105"/>
      <c r="E23" s="105"/>
      <c r="F23" s="105"/>
      <c r="G23" s="105"/>
      <c r="H23" s="105"/>
      <c r="I23" s="105"/>
      <c r="J23" s="786">
        <f>I13*1.1152</f>
        <v>5025.5887261833604</v>
      </c>
      <c r="K23" s="786"/>
      <c r="L23" s="104"/>
    </row>
    <row r="24" spans="1:12" x14ac:dyDescent="0.25">
      <c r="A24" s="65"/>
      <c r="B24" s="208" t="s">
        <v>276</v>
      </c>
      <c r="C24" s="208"/>
      <c r="D24" s="208"/>
      <c r="E24" s="208"/>
      <c r="F24" s="208"/>
      <c r="G24" s="208"/>
      <c r="H24" s="208"/>
      <c r="I24" s="101">
        <f>J23/74</f>
        <v>67.913361164640008</v>
      </c>
      <c r="J24" s="101"/>
      <c r="K24" s="101"/>
      <c r="L24" s="102"/>
    </row>
    <row r="25" spans="1:12" x14ac:dyDescent="0.25">
      <c r="A25" s="65"/>
      <c r="B25" s="70"/>
      <c r="C25" s="70"/>
      <c r="D25" s="66"/>
      <c r="E25" s="66"/>
      <c r="F25" s="66"/>
      <c r="G25" s="66"/>
      <c r="H25" s="66"/>
      <c r="I25" s="66"/>
      <c r="J25" s="66"/>
      <c r="K25" s="66"/>
      <c r="L25" s="71"/>
    </row>
    <row r="26" spans="1:12" x14ac:dyDescent="0.25">
      <c r="A26" s="720" t="s">
        <v>821</v>
      </c>
      <c r="B26" s="721"/>
      <c r="C26" s="721"/>
      <c r="D26" s="721"/>
      <c r="E26" s="721"/>
      <c r="F26" s="721"/>
      <c r="G26" s="721"/>
      <c r="H26" s="721"/>
      <c r="I26" s="721"/>
      <c r="J26" s="721"/>
      <c r="K26" s="721"/>
      <c r="L26" s="722"/>
    </row>
    <row r="27" spans="1:12" ht="13.5" customHeight="1" x14ac:dyDescent="0.25">
      <c r="A27" s="723" t="s">
        <v>112</v>
      </c>
      <c r="B27" s="726" t="s">
        <v>113</v>
      </c>
      <c r="C27" s="729" t="s">
        <v>99</v>
      </c>
      <c r="D27" s="730"/>
      <c r="E27" s="730"/>
      <c r="F27" s="730"/>
      <c r="G27" s="731"/>
      <c r="H27" s="729" t="s">
        <v>100</v>
      </c>
      <c r="I27" s="730"/>
      <c r="J27" s="730"/>
      <c r="K27" s="730"/>
      <c r="L27" s="731"/>
    </row>
    <row r="28" spans="1:12" x14ac:dyDescent="0.25">
      <c r="A28" s="724"/>
      <c r="B28" s="727"/>
      <c r="C28" s="732"/>
      <c r="D28" s="733"/>
      <c r="E28" s="733"/>
      <c r="F28" s="733"/>
      <c r="G28" s="734"/>
      <c r="H28" s="732" t="s">
        <v>96</v>
      </c>
      <c r="I28" s="733"/>
      <c r="J28" s="733"/>
      <c r="K28" s="733"/>
      <c r="L28" s="734"/>
    </row>
    <row r="29" spans="1:12" x14ac:dyDescent="0.25">
      <c r="A29" s="725"/>
      <c r="B29" s="728"/>
      <c r="C29" s="72" t="s">
        <v>114</v>
      </c>
      <c r="D29" s="73" t="s">
        <v>115</v>
      </c>
      <c r="E29" s="73" t="s">
        <v>116</v>
      </c>
      <c r="F29" s="73" t="s">
        <v>13</v>
      </c>
      <c r="G29" s="74" t="s">
        <v>117</v>
      </c>
      <c r="H29" s="72" t="s">
        <v>114</v>
      </c>
      <c r="I29" s="73" t="s">
        <v>115</v>
      </c>
      <c r="J29" s="73" t="s">
        <v>116</v>
      </c>
      <c r="K29" s="73" t="s">
        <v>13</v>
      </c>
      <c r="L29" s="74" t="s">
        <v>117</v>
      </c>
    </row>
    <row r="30" spans="1:12" x14ac:dyDescent="0.25">
      <c r="A30" s="75" t="s">
        <v>118</v>
      </c>
      <c r="B30" s="76">
        <v>2</v>
      </c>
      <c r="C30" s="77">
        <v>3</v>
      </c>
      <c r="D30" s="78">
        <v>4</v>
      </c>
      <c r="E30" s="78">
        <v>5</v>
      </c>
      <c r="F30" s="78">
        <v>6</v>
      </c>
      <c r="G30" s="76">
        <v>7</v>
      </c>
      <c r="H30" s="77">
        <v>8</v>
      </c>
      <c r="I30" s="78">
        <v>9</v>
      </c>
      <c r="J30" s="78">
        <v>10</v>
      </c>
      <c r="K30" s="78">
        <v>11</v>
      </c>
      <c r="L30" s="76">
        <v>12</v>
      </c>
    </row>
    <row r="31" spans="1:12" s="84" customFormat="1" ht="31.5" x14ac:dyDescent="0.25">
      <c r="A31" s="79">
        <v>1</v>
      </c>
      <c r="B31" s="80" t="s">
        <v>119</v>
      </c>
      <c r="C31" s="81">
        <f>2280.821</f>
        <v>2280.8209999999999</v>
      </c>
      <c r="D31" s="82">
        <v>0</v>
      </c>
      <c r="E31" s="82">
        <v>0</v>
      </c>
      <c r="F31" s="82">
        <v>0</v>
      </c>
      <c r="G31" s="83">
        <f>F31+E31+D31+C31</f>
        <v>2280.8209999999999</v>
      </c>
      <c r="H31" s="81">
        <f>C31/40*74</f>
        <v>4219.5188500000004</v>
      </c>
      <c r="I31" s="82">
        <v>0</v>
      </c>
      <c r="J31" s="82">
        <v>0</v>
      </c>
      <c r="K31" s="82">
        <v>0</v>
      </c>
      <c r="L31" s="83">
        <f>K31+J31+I31+H31</f>
        <v>4219.5188500000004</v>
      </c>
    </row>
    <row r="32" spans="1:12" s="84" customFormat="1" x14ac:dyDescent="0.25">
      <c r="A32" s="85">
        <v>2</v>
      </c>
      <c r="B32" s="86"/>
      <c r="C32" s="87"/>
      <c r="D32" s="88">
        <v>0</v>
      </c>
      <c r="E32" s="88">
        <v>0</v>
      </c>
      <c r="F32" s="88">
        <v>0</v>
      </c>
      <c r="G32" s="89">
        <f t="shared" ref="G32:G33" si="0">F32+E32+D32+C32</f>
        <v>0</v>
      </c>
      <c r="H32" s="87">
        <f>C32/63.5*2600</f>
        <v>0</v>
      </c>
      <c r="I32" s="88">
        <v>0</v>
      </c>
      <c r="J32" s="88">
        <v>0</v>
      </c>
      <c r="K32" s="88">
        <v>0</v>
      </c>
      <c r="L32" s="89">
        <f t="shared" ref="L32:L34" si="1">K32+J32+I32+H32</f>
        <v>0</v>
      </c>
    </row>
    <row r="33" spans="1:12" s="84" customFormat="1" x14ac:dyDescent="0.25">
      <c r="A33" s="85" t="s">
        <v>120</v>
      </c>
      <c r="B33" s="86"/>
      <c r="C33" s="87"/>
      <c r="D33" s="88">
        <v>0</v>
      </c>
      <c r="E33" s="88">
        <v>0</v>
      </c>
      <c r="F33" s="88">
        <v>0</v>
      </c>
      <c r="G33" s="89">
        <f t="shared" si="0"/>
        <v>0</v>
      </c>
      <c r="H33" s="87"/>
      <c r="I33" s="88"/>
      <c r="J33" s="88"/>
      <c r="K33" s="88">
        <v>0</v>
      </c>
      <c r="L33" s="89">
        <f t="shared" si="1"/>
        <v>0</v>
      </c>
    </row>
    <row r="34" spans="1:12" s="84" customFormat="1" x14ac:dyDescent="0.25">
      <c r="A34" s="85" t="s">
        <v>121</v>
      </c>
      <c r="B34" s="86"/>
      <c r="C34" s="87"/>
      <c r="D34" s="88">
        <v>0</v>
      </c>
      <c r="E34" s="88">
        <v>0</v>
      </c>
      <c r="F34" s="88"/>
      <c r="G34" s="89"/>
      <c r="H34" s="87">
        <f>C34/7071.5*5600</f>
        <v>0</v>
      </c>
      <c r="I34" s="88">
        <v>0</v>
      </c>
      <c r="J34" s="88">
        <v>0</v>
      </c>
      <c r="K34" s="88">
        <f>F34/7071.5*5600</f>
        <v>0</v>
      </c>
      <c r="L34" s="89">
        <f t="shared" si="1"/>
        <v>0</v>
      </c>
    </row>
    <row r="35" spans="1:12" s="53" customFormat="1" ht="21.75" customHeight="1" x14ac:dyDescent="0.25">
      <c r="A35" s="90"/>
      <c r="B35" s="91" t="s">
        <v>122</v>
      </c>
      <c r="C35" s="92">
        <f>C31+C32+C33+C34</f>
        <v>2280.8209999999999</v>
      </c>
      <c r="D35" s="93">
        <f t="shared" ref="D35:K35" si="2">D31+D32+D33+D34</f>
        <v>0</v>
      </c>
      <c r="E35" s="93">
        <f t="shared" si="2"/>
        <v>0</v>
      </c>
      <c r="F35" s="93">
        <f t="shared" si="2"/>
        <v>0</v>
      </c>
      <c r="G35" s="94">
        <f>G31+G32+G33+G34</f>
        <v>2280.8209999999999</v>
      </c>
      <c r="H35" s="92">
        <f t="shared" si="2"/>
        <v>4219.5188500000004</v>
      </c>
      <c r="I35" s="93">
        <f t="shared" si="2"/>
        <v>0</v>
      </c>
      <c r="J35" s="93">
        <f t="shared" si="2"/>
        <v>0</v>
      </c>
      <c r="K35" s="93">
        <f t="shared" si="2"/>
        <v>0</v>
      </c>
      <c r="L35" s="94">
        <f>L31+L32+L33+L34</f>
        <v>4219.5188500000004</v>
      </c>
    </row>
    <row r="36" spans="1:12" x14ac:dyDescent="0.25">
      <c r="A36" s="95"/>
      <c r="B36" s="96"/>
      <c r="C36" s="97"/>
      <c r="D36" s="97"/>
      <c r="E36" s="97"/>
      <c r="F36" s="97"/>
      <c r="G36" s="97"/>
      <c r="H36" s="97"/>
      <c r="I36" s="97"/>
      <c r="J36" s="97"/>
      <c r="K36" s="97"/>
      <c r="L36" s="98"/>
    </row>
    <row r="39" spans="1:12" x14ac:dyDescent="0.25">
      <c r="B39" s="49" t="s">
        <v>123</v>
      </c>
      <c r="C39" s="49" t="s">
        <v>124</v>
      </c>
      <c r="D39" s="100">
        <v>155565902.5</v>
      </c>
    </row>
    <row r="40" spans="1:12" x14ac:dyDescent="0.25">
      <c r="B40" s="49" t="s">
        <v>125</v>
      </c>
      <c r="C40" s="49" t="s">
        <v>126</v>
      </c>
      <c r="D40" s="100">
        <v>170463620.5</v>
      </c>
    </row>
    <row r="41" spans="1:12" x14ac:dyDescent="0.25">
      <c r="B41" s="49" t="s">
        <v>127</v>
      </c>
      <c r="C41" s="49" t="s">
        <v>128</v>
      </c>
      <c r="D41" s="100">
        <v>3982530.33</v>
      </c>
    </row>
    <row r="42" spans="1:12" x14ac:dyDescent="0.25">
      <c r="B42" s="49" t="s">
        <v>129</v>
      </c>
      <c r="C42" s="49" t="s">
        <v>130</v>
      </c>
      <c r="D42" s="100">
        <v>4438152.74</v>
      </c>
    </row>
    <row r="43" spans="1:12" x14ac:dyDescent="0.25">
      <c r="B43" s="49" t="s">
        <v>131</v>
      </c>
      <c r="C43" s="49" t="s">
        <v>132</v>
      </c>
      <c r="D43" s="100">
        <v>102303.95</v>
      </c>
    </row>
    <row r="44" spans="1:12" x14ac:dyDescent="0.25">
      <c r="B44" s="49" t="s">
        <v>133</v>
      </c>
      <c r="C44" s="49" t="s">
        <v>130</v>
      </c>
      <c r="D44" s="100">
        <v>20502947.129999999</v>
      </c>
    </row>
    <row r="45" spans="1:12" x14ac:dyDescent="0.25">
      <c r="B45" s="49" t="s">
        <v>134</v>
      </c>
      <c r="C45" s="49" t="s">
        <v>135</v>
      </c>
      <c r="D45" s="100">
        <v>10215066.27</v>
      </c>
    </row>
    <row r="46" spans="1:12" x14ac:dyDescent="0.25">
      <c r="B46" s="49" t="s">
        <v>136</v>
      </c>
      <c r="C46" s="49" t="s">
        <v>130</v>
      </c>
      <c r="D46" s="100">
        <v>14349765.050000001</v>
      </c>
    </row>
    <row r="47" spans="1:12" x14ac:dyDescent="0.25">
      <c r="B47" s="49" t="s">
        <v>137</v>
      </c>
      <c r="C47" s="49">
        <f>132+195+13.5</f>
        <v>340.5</v>
      </c>
      <c r="D47" s="100">
        <f>76696.72+104777.28+79775.03+143461.53+210215.08+145399.49+14948.5+33814.62+15591.03+115624.17+363113.48+105706.01</f>
        <v>1409122.9400000002</v>
      </c>
    </row>
    <row r="48" spans="1:12" x14ac:dyDescent="0.25">
      <c r="D48" s="100">
        <f>578214.12+2522271.47+670724.82+3797939.4+443649.14+2977772.64+124578.53+1017303.34</f>
        <v>12132453.459999999</v>
      </c>
    </row>
    <row r="49" spans="2:5" x14ac:dyDescent="0.25">
      <c r="B49" s="49" t="s">
        <v>138</v>
      </c>
      <c r="C49" s="49" t="s">
        <v>139</v>
      </c>
      <c r="D49" s="100">
        <v>4728434.05</v>
      </c>
    </row>
    <row r="50" spans="2:5" x14ac:dyDescent="0.25">
      <c r="B50" s="49" t="s">
        <v>140</v>
      </c>
      <c r="C50" s="49" t="s">
        <v>141</v>
      </c>
      <c r="D50" s="100">
        <v>2419992.5299999998</v>
      </c>
    </row>
    <row r="51" spans="2:5" x14ac:dyDescent="0.25">
      <c r="B51" s="49" t="s">
        <v>142</v>
      </c>
      <c r="C51" s="49" t="s">
        <v>143</v>
      </c>
      <c r="D51" s="100">
        <f>621057.52-E51</f>
        <v>516825.7</v>
      </c>
      <c r="E51" s="49">
        <v>104231.82</v>
      </c>
    </row>
    <row r="52" spans="2:5" x14ac:dyDescent="0.25">
      <c r="B52" s="49" t="s">
        <v>144</v>
      </c>
      <c r="C52" s="49" t="s">
        <v>141</v>
      </c>
      <c r="D52" s="100">
        <v>4231323.92</v>
      </c>
    </row>
    <row r="53" spans="2:5" x14ac:dyDescent="0.25">
      <c r="B53" s="49" t="s">
        <v>145</v>
      </c>
      <c r="C53" s="49" t="s">
        <v>141</v>
      </c>
      <c r="D53" s="100">
        <v>5618649.9000000004</v>
      </c>
    </row>
    <row r="54" spans="2:5" x14ac:dyDescent="0.25">
      <c r="B54" s="49" t="s">
        <v>146</v>
      </c>
      <c r="C54" s="49" t="s">
        <v>141</v>
      </c>
      <c r="D54" s="100">
        <v>46637.49</v>
      </c>
    </row>
    <row r="55" spans="2:5" x14ac:dyDescent="0.25">
      <c r="B55" s="49" t="s">
        <v>147</v>
      </c>
      <c r="C55" s="49" t="s">
        <v>141</v>
      </c>
      <c r="D55" s="100">
        <v>7723237.3600000003</v>
      </c>
    </row>
    <row r="56" spans="2:5" x14ac:dyDescent="0.25">
      <c r="B56" s="49" t="s">
        <v>148</v>
      </c>
      <c r="C56" s="49" t="s">
        <v>141</v>
      </c>
      <c r="D56" s="100">
        <v>19970465.93</v>
      </c>
    </row>
    <row r="57" spans="2:5" x14ac:dyDescent="0.25">
      <c r="B57" s="49" t="s">
        <v>149</v>
      </c>
      <c r="C57" s="49" t="s">
        <v>150</v>
      </c>
      <c r="D57" s="100">
        <f>403326.48-E57</f>
        <v>352033.97</v>
      </c>
      <c r="E57" s="49">
        <v>51292.51</v>
      </c>
    </row>
    <row r="58" spans="2:5" x14ac:dyDescent="0.25">
      <c r="B58" s="49" t="s">
        <v>151</v>
      </c>
      <c r="C58" s="49" t="s">
        <v>152</v>
      </c>
      <c r="D58" s="100">
        <f>183545.28-E58</f>
        <v>181521.83</v>
      </c>
      <c r="E58" s="49">
        <v>2023.45</v>
      </c>
    </row>
    <row r="59" spans="2:5" x14ac:dyDescent="0.25">
      <c r="B59" s="49" t="s">
        <v>153</v>
      </c>
      <c r="C59" s="49" t="s">
        <v>154</v>
      </c>
      <c r="D59" s="100">
        <v>783893.81</v>
      </c>
    </row>
    <row r="60" spans="2:5" x14ac:dyDescent="0.25">
      <c r="B60" s="49" t="s">
        <v>155</v>
      </c>
      <c r="C60" s="49" t="s">
        <v>156</v>
      </c>
      <c r="D60" s="100">
        <v>125015.65</v>
      </c>
    </row>
    <row r="61" spans="2:5" x14ac:dyDescent="0.25">
      <c r="B61" s="49" t="s">
        <v>157</v>
      </c>
      <c r="C61" s="49" t="s">
        <v>141</v>
      </c>
      <c r="D61" s="100">
        <v>1118918.7</v>
      </c>
    </row>
    <row r="62" spans="2:5" x14ac:dyDescent="0.25">
      <c r="B62" s="49" t="s">
        <v>158</v>
      </c>
      <c r="C62" s="49" t="s">
        <v>141</v>
      </c>
      <c r="D62" s="100">
        <v>550993.31000000006</v>
      </c>
    </row>
    <row r="63" spans="2:5" x14ac:dyDescent="0.25">
      <c r="B63" s="49" t="s">
        <v>159</v>
      </c>
      <c r="C63" s="49" t="s">
        <v>141</v>
      </c>
      <c r="D63" s="100">
        <v>634041.76</v>
      </c>
    </row>
    <row r="64" spans="2:5" x14ac:dyDescent="0.25">
      <c r="B64" s="49" t="s">
        <v>160</v>
      </c>
      <c r="C64" s="49" t="s">
        <v>141</v>
      </c>
      <c r="D64" s="100">
        <v>7267871.0700000003</v>
      </c>
    </row>
    <row r="65" spans="2:5" x14ac:dyDescent="0.25">
      <c r="B65" s="49" t="s">
        <v>161</v>
      </c>
      <c r="C65" s="49" t="s">
        <v>141</v>
      </c>
      <c r="D65" s="100">
        <v>749240.75</v>
      </c>
    </row>
    <row r="66" spans="2:5" x14ac:dyDescent="0.25">
      <c r="B66" s="49" t="s">
        <v>162</v>
      </c>
      <c r="C66" s="49" t="s">
        <v>141</v>
      </c>
      <c r="D66" s="100">
        <v>1508792.01</v>
      </c>
    </row>
    <row r="67" spans="2:5" x14ac:dyDescent="0.25">
      <c r="D67" s="100"/>
    </row>
    <row r="68" spans="2:5" x14ac:dyDescent="0.25">
      <c r="D68" s="100"/>
    </row>
    <row r="69" spans="2:5" x14ac:dyDescent="0.25">
      <c r="D69" s="100"/>
    </row>
    <row r="70" spans="2:5" x14ac:dyDescent="0.25">
      <c r="D70" s="100"/>
    </row>
    <row r="71" spans="2:5" x14ac:dyDescent="0.25">
      <c r="D71" s="100">
        <f>SUM(D39:D66)</f>
        <v>451689754.6099999</v>
      </c>
      <c r="E71" s="49">
        <f>SUM(E51:E70)</f>
        <v>157547.78000000003</v>
      </c>
    </row>
  </sheetData>
  <mergeCells count="44">
    <mergeCell ref="J23:K23"/>
    <mergeCell ref="B11:C11"/>
    <mergeCell ref="A1:L1"/>
    <mergeCell ref="A3:L3"/>
    <mergeCell ref="A4:L4"/>
    <mergeCell ref="B6:C7"/>
    <mergeCell ref="I6:L6"/>
    <mergeCell ref="I7:L7"/>
    <mergeCell ref="B8:C8"/>
    <mergeCell ref="B9:C9"/>
    <mergeCell ref="I9:L9"/>
    <mergeCell ref="B10:C10"/>
    <mergeCell ref="I10:L10"/>
    <mergeCell ref="I18:L18"/>
    <mergeCell ref="D18:H18"/>
    <mergeCell ref="B12:C12"/>
    <mergeCell ref="D12:H12"/>
    <mergeCell ref="I12:L12"/>
    <mergeCell ref="B13:C13"/>
    <mergeCell ref="D13:H13"/>
    <mergeCell ref="I13:L13"/>
    <mergeCell ref="I15:L15"/>
    <mergeCell ref="B16:C16"/>
    <mergeCell ref="D16:H16"/>
    <mergeCell ref="I16:L16"/>
    <mergeCell ref="B17:C17"/>
    <mergeCell ref="D17:H17"/>
    <mergeCell ref="I17:L17"/>
    <mergeCell ref="D6:H7"/>
    <mergeCell ref="A26:L26"/>
    <mergeCell ref="A27:A29"/>
    <mergeCell ref="B27:B29"/>
    <mergeCell ref="C27:G27"/>
    <mergeCell ref="H27:L27"/>
    <mergeCell ref="C28:G28"/>
    <mergeCell ref="H28:L28"/>
    <mergeCell ref="I20:L20"/>
    <mergeCell ref="I21:L21"/>
    <mergeCell ref="I22:L22"/>
    <mergeCell ref="I19:L19"/>
    <mergeCell ref="B14:C14"/>
    <mergeCell ref="E14:I14"/>
    <mergeCell ref="B15:C15"/>
    <mergeCell ref="D15:H15"/>
  </mergeCells>
  <pageMargins left="0.39370078740157483" right="0.39370078740157483" top="0.59055118110236227" bottom="0.39370078740157483" header="0" footer="0"/>
  <pageSetup paperSize="9" scale="57" fitToHeight="100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0.39997558519241921"/>
    <pageSetUpPr fitToPage="1"/>
  </sheetPr>
  <dimension ref="A1:O65"/>
  <sheetViews>
    <sheetView showGridLines="0" view="pageBreakPreview" zoomScale="70" zoomScaleNormal="100" zoomScaleSheetLayoutView="70" workbookViewId="0">
      <selection activeCell="C112" sqref="C112:G112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1" style="49" customWidth="1"/>
    <col min="16" max="16384" width="9.140625" style="49"/>
  </cols>
  <sheetData>
    <row r="1" spans="1:15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  <c r="O1" s="49">
        <f>[16]МГЭ!$I$3</f>
        <v>1.1477999999999999</v>
      </c>
    </row>
    <row r="2" spans="1:15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5" s="53" customFormat="1" x14ac:dyDescent="0.25">
      <c r="A3" s="746" t="s">
        <v>505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5" s="53" customFormat="1" ht="21" customHeight="1" x14ac:dyDescent="0.25">
      <c r="A4" s="748" t="s">
        <v>3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5" ht="33" customHeight="1" x14ac:dyDescent="0.25">
      <c r="A5" s="50" t="s">
        <v>20</v>
      </c>
      <c r="B5" s="750" t="s">
        <v>778</v>
      </c>
      <c r="C5" s="750"/>
      <c r="D5" s="750"/>
      <c r="E5" s="750"/>
      <c r="F5" s="750"/>
      <c r="G5" s="750"/>
      <c r="H5" s="750"/>
      <c r="I5" s="750"/>
      <c r="J5" s="750"/>
      <c r="K5" s="750"/>
      <c r="L5" s="750"/>
    </row>
    <row r="6" spans="1:15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5" x14ac:dyDescent="0.25">
      <c r="A7" s="55" t="s">
        <v>19</v>
      </c>
      <c r="B7" s="753"/>
      <c r="C7" s="754"/>
      <c r="D7" s="753"/>
      <c r="E7" s="756"/>
      <c r="F7" s="756"/>
      <c r="G7" s="756"/>
      <c r="H7" s="754"/>
      <c r="I7" s="753" t="s">
        <v>3</v>
      </c>
      <c r="J7" s="756"/>
      <c r="K7" s="756"/>
      <c r="L7" s="754"/>
    </row>
    <row r="8" spans="1:15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5" x14ac:dyDescent="0.25">
      <c r="A9" s="50" t="s">
        <v>102</v>
      </c>
      <c r="B9" s="721" t="s">
        <v>293</v>
      </c>
      <c r="C9" s="721"/>
      <c r="D9" s="61"/>
      <c r="E9" s="61"/>
      <c r="F9" s="134" t="s">
        <v>294</v>
      </c>
      <c r="G9" s="134"/>
      <c r="H9" s="61"/>
      <c r="I9" s="774" t="s">
        <v>205</v>
      </c>
      <c r="J9" s="774"/>
      <c r="K9" s="774"/>
      <c r="L9" s="775"/>
    </row>
    <row r="10" spans="1:15" ht="33.75" customHeight="1" x14ac:dyDescent="0.25">
      <c r="A10" s="64">
        <v>2</v>
      </c>
      <c r="B10" s="741" t="s">
        <v>297</v>
      </c>
      <c r="C10" s="721"/>
      <c r="D10" s="742">
        <f>D12+D13+D14+F15</f>
        <v>3560.14</v>
      </c>
      <c r="E10" s="742"/>
      <c r="F10" s="742"/>
      <c r="G10" s="742"/>
      <c r="H10" s="742"/>
      <c r="I10" s="742">
        <f>(I12+I13+I14+I15+I16+I17+I18+I19)</f>
        <v>1829.8064783999998</v>
      </c>
      <c r="J10" s="742"/>
      <c r="K10" s="742"/>
      <c r="L10" s="743"/>
    </row>
    <row r="11" spans="1:15" x14ac:dyDescent="0.25">
      <c r="A11" s="65"/>
      <c r="B11" s="735" t="s">
        <v>106</v>
      </c>
      <c r="C11" s="735"/>
      <c r="D11" s="135"/>
      <c r="E11" s="736"/>
      <c r="F11" s="736"/>
      <c r="G11" s="736"/>
      <c r="H11" s="736"/>
      <c r="I11" s="736"/>
      <c r="J11" s="68"/>
      <c r="K11" s="68"/>
      <c r="L11" s="69"/>
    </row>
    <row r="12" spans="1:15" x14ac:dyDescent="0.25">
      <c r="A12" s="65"/>
      <c r="B12" s="735" t="s">
        <v>107</v>
      </c>
      <c r="C12" s="735"/>
      <c r="D12" s="736">
        <f>C29</f>
        <v>433.06</v>
      </c>
      <c r="E12" s="736"/>
      <c r="F12" s="736"/>
      <c r="G12" s="736"/>
      <c r="H12" s="736"/>
      <c r="I12" s="736">
        <f>H29</f>
        <v>216.53</v>
      </c>
      <c r="J12" s="736"/>
      <c r="K12" s="736"/>
      <c r="L12" s="773"/>
    </row>
    <row r="13" spans="1:15" x14ac:dyDescent="0.25">
      <c r="A13" s="65"/>
      <c r="B13" s="735" t="s">
        <v>108</v>
      </c>
      <c r="C13" s="735"/>
      <c r="D13" s="736">
        <f>D29</f>
        <v>0</v>
      </c>
      <c r="E13" s="736"/>
      <c r="F13" s="736"/>
      <c r="G13" s="736"/>
      <c r="H13" s="736"/>
      <c r="I13" s="736">
        <f>I28</f>
        <v>0</v>
      </c>
      <c r="J13" s="736"/>
      <c r="K13" s="736"/>
      <c r="L13" s="773"/>
    </row>
    <row r="14" spans="1:15" x14ac:dyDescent="0.25">
      <c r="A14" s="65"/>
      <c r="B14" s="735" t="s">
        <v>109</v>
      </c>
      <c r="C14" s="735"/>
      <c r="D14" s="736">
        <f>E29</f>
        <v>2875.21</v>
      </c>
      <c r="E14" s="736"/>
      <c r="F14" s="736"/>
      <c r="G14" s="736"/>
      <c r="H14" s="736"/>
      <c r="I14" s="736">
        <f>J28</f>
        <v>1437.605</v>
      </c>
      <c r="J14" s="736"/>
      <c r="K14" s="736"/>
      <c r="L14" s="773"/>
    </row>
    <row r="15" spans="1:15" x14ac:dyDescent="0.25">
      <c r="A15" s="65"/>
      <c r="B15" s="137" t="s">
        <v>110</v>
      </c>
      <c r="C15" s="137"/>
      <c r="D15" s="736">
        <f>F29</f>
        <v>251.87</v>
      </c>
      <c r="E15" s="736"/>
      <c r="F15" s="736">
        <f>F29</f>
        <v>251.87</v>
      </c>
      <c r="G15" s="736"/>
      <c r="H15" s="736"/>
      <c r="I15" s="736">
        <f>K29</f>
        <v>125.935</v>
      </c>
      <c r="J15" s="736"/>
      <c r="K15" s="736"/>
      <c r="L15" s="773"/>
    </row>
    <row r="16" spans="1:15" x14ac:dyDescent="0.25">
      <c r="A16" s="65"/>
      <c r="B16" s="137" t="s">
        <v>85</v>
      </c>
      <c r="C16" s="137"/>
      <c r="D16" s="135"/>
      <c r="E16" s="135"/>
      <c r="F16" s="135"/>
      <c r="G16" s="135"/>
      <c r="H16" s="135"/>
      <c r="I16" s="736">
        <f>I12*0.015</f>
        <v>3.2479499999999999</v>
      </c>
      <c r="J16" s="736"/>
      <c r="K16" s="736"/>
      <c r="L16" s="773"/>
    </row>
    <row r="17" spans="1:12" x14ac:dyDescent="0.25">
      <c r="A17" s="65"/>
      <c r="B17" s="137" t="s">
        <v>39</v>
      </c>
      <c r="C17" s="137"/>
      <c r="D17" s="135"/>
      <c r="E17" s="135"/>
      <c r="F17" s="135"/>
      <c r="G17" s="135"/>
      <c r="H17" s="135"/>
      <c r="I17" s="736">
        <f>I12*0.029</f>
        <v>6.2793700000000001</v>
      </c>
      <c r="J17" s="736"/>
      <c r="K17" s="736"/>
      <c r="L17" s="773"/>
    </row>
    <row r="18" spans="1:12" x14ac:dyDescent="0.25">
      <c r="A18" s="65"/>
      <c r="B18" s="137" t="s">
        <v>40</v>
      </c>
      <c r="C18" s="137"/>
      <c r="D18" s="135"/>
      <c r="E18" s="135"/>
      <c r="F18" s="135"/>
      <c r="G18" s="135"/>
      <c r="H18" s="135"/>
      <c r="I18" s="736">
        <f>I12*0.02</f>
        <v>4.3306000000000004</v>
      </c>
      <c r="J18" s="736"/>
      <c r="K18" s="736"/>
      <c r="L18" s="773"/>
    </row>
    <row r="19" spans="1:12" x14ac:dyDescent="0.25">
      <c r="A19" s="65"/>
      <c r="B19" s="137" t="s">
        <v>163</v>
      </c>
      <c r="C19" s="137"/>
      <c r="D19" s="135"/>
      <c r="E19" s="135"/>
      <c r="F19" s="135"/>
      <c r="G19" s="135"/>
      <c r="H19" s="135"/>
      <c r="I19" s="736">
        <f>(I12+I15+I16+I17+I18+I14+I13)*0.02</f>
        <v>35.878558400000003</v>
      </c>
      <c r="J19" s="736"/>
      <c r="K19" s="736"/>
      <c r="L19" s="773"/>
    </row>
    <row r="20" spans="1:12" s="103" customFormat="1" x14ac:dyDescent="0.25">
      <c r="A20" s="107"/>
      <c r="B20" s="571" t="s">
        <v>722</v>
      </c>
      <c r="C20" s="106"/>
      <c r="D20" s="105"/>
      <c r="E20" s="105"/>
      <c r="F20" s="105"/>
      <c r="G20" s="105"/>
      <c r="H20" s="105"/>
      <c r="I20" s="105"/>
      <c r="J20" s="786">
        <f>I10*O1</f>
        <v>2100.2518759075197</v>
      </c>
      <c r="K20" s="786"/>
      <c r="L20" s="104"/>
    </row>
    <row r="21" spans="1:12" x14ac:dyDescent="0.25">
      <c r="A21" s="65"/>
      <c r="B21" s="208" t="s">
        <v>296</v>
      </c>
      <c r="C21" s="208"/>
      <c r="D21" s="208"/>
      <c r="E21" s="208"/>
      <c r="F21" s="208"/>
      <c r="G21" s="208"/>
      <c r="H21" s="208"/>
      <c r="I21" s="101">
        <f>J20/4</f>
        <v>525.06296897687992</v>
      </c>
      <c r="J21" s="101"/>
      <c r="K21" s="101"/>
      <c r="L21" s="102"/>
    </row>
    <row r="22" spans="1:12" x14ac:dyDescent="0.25">
      <c r="A22" s="65"/>
      <c r="B22" s="137"/>
      <c r="C22" s="137"/>
      <c r="D22" s="135"/>
      <c r="E22" s="135"/>
      <c r="F22" s="135"/>
      <c r="G22" s="135"/>
      <c r="H22" s="135"/>
      <c r="I22" s="135"/>
      <c r="J22" s="135"/>
      <c r="K22" s="135"/>
      <c r="L22" s="136"/>
    </row>
    <row r="23" spans="1:12" x14ac:dyDescent="0.25">
      <c r="A23" s="720" t="s">
        <v>295</v>
      </c>
      <c r="B23" s="721"/>
      <c r="C23" s="721"/>
      <c r="D23" s="721"/>
      <c r="E23" s="721"/>
      <c r="F23" s="721"/>
      <c r="G23" s="721"/>
      <c r="H23" s="721"/>
      <c r="I23" s="721"/>
      <c r="J23" s="721"/>
      <c r="K23" s="721"/>
      <c r="L23" s="722"/>
    </row>
    <row r="24" spans="1:12" ht="13.5" customHeight="1" x14ac:dyDescent="0.25">
      <c r="A24" s="723" t="s">
        <v>112</v>
      </c>
      <c r="B24" s="726" t="s">
        <v>113</v>
      </c>
      <c r="C24" s="729" t="s">
        <v>99</v>
      </c>
      <c r="D24" s="730"/>
      <c r="E24" s="730"/>
      <c r="F24" s="730"/>
      <c r="G24" s="731"/>
      <c r="H24" s="729" t="s">
        <v>100</v>
      </c>
      <c r="I24" s="730"/>
      <c r="J24" s="730"/>
      <c r="K24" s="730"/>
      <c r="L24" s="731"/>
    </row>
    <row r="25" spans="1:12" x14ac:dyDescent="0.25">
      <c r="A25" s="724"/>
      <c r="B25" s="727"/>
      <c r="C25" s="732"/>
      <c r="D25" s="733"/>
      <c r="E25" s="733"/>
      <c r="F25" s="733"/>
      <c r="G25" s="734"/>
      <c r="H25" s="732" t="s">
        <v>3</v>
      </c>
      <c r="I25" s="733"/>
      <c r="J25" s="733"/>
      <c r="K25" s="733"/>
      <c r="L25" s="734"/>
    </row>
    <row r="26" spans="1:12" x14ac:dyDescent="0.25">
      <c r="A26" s="725"/>
      <c r="B26" s="728"/>
      <c r="C26" s="72" t="s">
        <v>114</v>
      </c>
      <c r="D26" s="138" t="s">
        <v>115</v>
      </c>
      <c r="E26" s="138" t="s">
        <v>116</v>
      </c>
      <c r="F26" s="138" t="s">
        <v>13</v>
      </c>
      <c r="G26" s="139" t="s">
        <v>117</v>
      </c>
      <c r="H26" s="72" t="s">
        <v>114</v>
      </c>
      <c r="I26" s="138" t="s">
        <v>115</v>
      </c>
      <c r="J26" s="138" t="s">
        <v>116</v>
      </c>
      <c r="K26" s="138" t="s">
        <v>13</v>
      </c>
      <c r="L26" s="139" t="s">
        <v>117</v>
      </c>
    </row>
    <row r="27" spans="1:12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2" s="84" customFormat="1" x14ac:dyDescent="0.25">
      <c r="A28" s="79">
        <v>1</v>
      </c>
      <c r="B28" s="80" t="s">
        <v>293</v>
      </c>
      <c r="C28" s="81">
        <v>433.06</v>
      </c>
      <c r="D28" s="82">
        <v>0</v>
      </c>
      <c r="E28" s="82">
        <v>2875.21</v>
      </c>
      <c r="F28" s="82">
        <f>216.71+24.96+10.2</f>
        <v>251.87</v>
      </c>
      <c r="G28" s="83">
        <f>F28+E28+D28+C28</f>
        <v>3560.14</v>
      </c>
      <c r="H28" s="81">
        <f>C28/8*4</f>
        <v>216.53</v>
      </c>
      <c r="I28" s="82">
        <f t="shared" ref="I28:K28" si="0">D28/8*4</f>
        <v>0</v>
      </c>
      <c r="J28" s="82">
        <f t="shared" si="0"/>
        <v>1437.605</v>
      </c>
      <c r="K28" s="82">
        <f t="shared" si="0"/>
        <v>125.935</v>
      </c>
      <c r="L28" s="83">
        <f>K28+J28+I28+H28</f>
        <v>1780.07</v>
      </c>
    </row>
    <row r="29" spans="1:12" s="53" customFormat="1" ht="21.75" customHeight="1" x14ac:dyDescent="0.25">
      <c r="A29" s="90"/>
      <c r="B29" s="91" t="s">
        <v>122</v>
      </c>
      <c r="C29" s="92">
        <f>C28</f>
        <v>433.06</v>
      </c>
      <c r="D29" s="93">
        <f t="shared" ref="D29:L29" si="1">D28</f>
        <v>0</v>
      </c>
      <c r="E29" s="93">
        <f t="shared" si="1"/>
        <v>2875.21</v>
      </c>
      <c r="F29" s="93">
        <f t="shared" si="1"/>
        <v>251.87</v>
      </c>
      <c r="G29" s="94">
        <f t="shared" si="1"/>
        <v>3560.14</v>
      </c>
      <c r="H29" s="92">
        <f t="shared" si="1"/>
        <v>216.53</v>
      </c>
      <c r="I29" s="93">
        <f t="shared" si="1"/>
        <v>0</v>
      </c>
      <c r="J29" s="93">
        <f t="shared" si="1"/>
        <v>1437.605</v>
      </c>
      <c r="K29" s="93">
        <f t="shared" si="1"/>
        <v>125.935</v>
      </c>
      <c r="L29" s="94">
        <f t="shared" si="1"/>
        <v>1780.07</v>
      </c>
    </row>
    <row r="30" spans="1:12" x14ac:dyDescent="0.25">
      <c r="A30" s="95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3" spans="4:4" x14ac:dyDescent="0.25">
      <c r="D33" s="100"/>
    </row>
    <row r="34" spans="4:4" x14ac:dyDescent="0.25">
      <c r="D34" s="100"/>
    </row>
    <row r="35" spans="4:4" x14ac:dyDescent="0.25">
      <c r="D35" s="100"/>
    </row>
    <row r="36" spans="4:4" x14ac:dyDescent="0.25">
      <c r="D36" s="100"/>
    </row>
    <row r="37" spans="4:4" x14ac:dyDescent="0.25">
      <c r="D37" s="100"/>
    </row>
    <row r="38" spans="4:4" x14ac:dyDescent="0.25">
      <c r="D38" s="100"/>
    </row>
    <row r="39" spans="4:4" x14ac:dyDescent="0.25">
      <c r="D39" s="100"/>
    </row>
    <row r="40" spans="4:4" x14ac:dyDescent="0.25">
      <c r="D40" s="100"/>
    </row>
    <row r="41" spans="4:4" x14ac:dyDescent="0.25">
      <c r="D41" s="100"/>
    </row>
    <row r="42" spans="4:4" x14ac:dyDescent="0.25">
      <c r="D42" s="100"/>
    </row>
    <row r="43" spans="4:4" x14ac:dyDescent="0.25">
      <c r="D43" s="100"/>
    </row>
    <row r="44" spans="4:4" x14ac:dyDescent="0.25">
      <c r="D44" s="100"/>
    </row>
    <row r="45" spans="4:4" x14ac:dyDescent="0.25">
      <c r="D45" s="100"/>
    </row>
    <row r="46" spans="4:4" x14ac:dyDescent="0.25">
      <c r="D46" s="100"/>
    </row>
    <row r="47" spans="4:4" x14ac:dyDescent="0.25">
      <c r="D47" s="100"/>
    </row>
    <row r="48" spans="4:4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>
        <f>SUM(D33:D60)</f>
        <v>0</v>
      </c>
      <c r="E65" s="49">
        <f>SUM(E45:E64)</f>
        <v>0</v>
      </c>
    </row>
  </sheetData>
  <mergeCells count="40">
    <mergeCell ref="J20:K20"/>
    <mergeCell ref="I17:L17"/>
    <mergeCell ref="I18:L18"/>
    <mergeCell ref="I19:L19"/>
    <mergeCell ref="A23:L23"/>
    <mergeCell ref="A24:A26"/>
    <mergeCell ref="B24:B26"/>
    <mergeCell ref="C24:G24"/>
    <mergeCell ref="H24:L24"/>
    <mergeCell ref="C25:G25"/>
    <mergeCell ref="H25:L25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10:C10"/>
    <mergeCell ref="D10:H10"/>
    <mergeCell ref="I10:L10"/>
    <mergeCell ref="B8:C8"/>
    <mergeCell ref="B9:C9"/>
    <mergeCell ref="I9:L9"/>
    <mergeCell ref="A1:L1"/>
    <mergeCell ref="A3:L3"/>
    <mergeCell ref="A4:L4"/>
    <mergeCell ref="B6:C7"/>
    <mergeCell ref="D6:H6"/>
    <mergeCell ref="I6:L6"/>
    <mergeCell ref="D7:H7"/>
    <mergeCell ref="I7:L7"/>
    <mergeCell ref="B5:L5"/>
  </mergeCells>
  <pageMargins left="0.39370078740157483" right="0.39370078740157483" top="0.59055118110236227" bottom="0.39370078740157483" header="0" footer="0"/>
  <pageSetup paperSize="9" scale="69" fitToHeight="100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  <pageSetUpPr fitToPage="1"/>
  </sheetPr>
  <dimension ref="A1:N65"/>
  <sheetViews>
    <sheetView showGridLines="0" view="pageBreakPreview" zoomScale="70" zoomScaleNormal="100" zoomScaleSheetLayoutView="70" workbookViewId="0">
      <selection activeCell="C112" sqref="C112:G112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4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  <c r="N1" s="49">
        <f>[16]МГЭ!$I$3</f>
        <v>1.1477999999999999</v>
      </c>
    </row>
    <row r="2" spans="1:14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53" customFormat="1" x14ac:dyDescent="0.25">
      <c r="A3" s="746" t="s">
        <v>506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4" s="53" customFormat="1" ht="21" customHeight="1" x14ac:dyDescent="0.25">
      <c r="A4" s="748" t="s">
        <v>298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4" ht="33" customHeight="1" x14ac:dyDescent="0.25">
      <c r="A5" s="50" t="s">
        <v>20</v>
      </c>
      <c r="B5" s="750" t="s">
        <v>778</v>
      </c>
      <c r="C5" s="750"/>
      <c r="D5" s="750"/>
      <c r="E5" s="750"/>
      <c r="F5" s="750"/>
      <c r="G5" s="750"/>
      <c r="H5" s="750"/>
      <c r="I5" s="750"/>
      <c r="J5" s="750"/>
      <c r="K5" s="750"/>
      <c r="L5" s="750"/>
    </row>
    <row r="6" spans="1:14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4" x14ac:dyDescent="0.25">
      <c r="A7" s="55" t="s">
        <v>19</v>
      </c>
      <c r="B7" s="753"/>
      <c r="C7" s="754"/>
      <c r="D7" s="753"/>
      <c r="E7" s="756"/>
      <c r="F7" s="756"/>
      <c r="G7" s="756"/>
      <c r="H7" s="754"/>
      <c r="I7" s="753" t="s">
        <v>298</v>
      </c>
      <c r="J7" s="756"/>
      <c r="K7" s="756"/>
      <c r="L7" s="754"/>
    </row>
    <row r="8" spans="1:14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4" x14ac:dyDescent="0.25">
      <c r="A9" s="50" t="s">
        <v>102</v>
      </c>
      <c r="B9" s="721" t="s">
        <v>298</v>
      </c>
      <c r="C9" s="721"/>
      <c r="D9" s="61"/>
      <c r="E9" s="61"/>
      <c r="F9" s="222" t="s">
        <v>299</v>
      </c>
      <c r="G9" s="222"/>
      <c r="H9" s="61"/>
      <c r="I9" s="774" t="s">
        <v>300</v>
      </c>
      <c r="J9" s="774"/>
      <c r="K9" s="774"/>
      <c r="L9" s="775"/>
    </row>
    <row r="10" spans="1:14" ht="33.75" customHeight="1" x14ac:dyDescent="0.25">
      <c r="A10" s="64">
        <v>2</v>
      </c>
      <c r="B10" s="741" t="s">
        <v>297</v>
      </c>
      <c r="C10" s="721"/>
      <c r="D10" s="742">
        <f>D12+D13+D14+F15</f>
        <v>3857.83</v>
      </c>
      <c r="E10" s="742"/>
      <c r="F10" s="742"/>
      <c r="G10" s="742"/>
      <c r="H10" s="742"/>
      <c r="I10" s="742">
        <f>(I12+I13+I14+I15+I16+I17+I18+I19)</f>
        <v>1988.6861255999997</v>
      </c>
      <c r="J10" s="742"/>
      <c r="K10" s="742"/>
      <c r="L10" s="743"/>
    </row>
    <row r="11" spans="1:14" x14ac:dyDescent="0.25">
      <c r="A11" s="65"/>
      <c r="B11" s="735" t="s">
        <v>106</v>
      </c>
      <c r="C11" s="735"/>
      <c r="D11" s="219"/>
      <c r="E11" s="736"/>
      <c r="F11" s="736"/>
      <c r="G11" s="736"/>
      <c r="H11" s="736"/>
      <c r="I11" s="736"/>
      <c r="J11" s="68"/>
      <c r="K11" s="68"/>
      <c r="L11" s="69"/>
    </row>
    <row r="12" spans="1:14" x14ac:dyDescent="0.25">
      <c r="A12" s="65"/>
      <c r="B12" s="735" t="s">
        <v>107</v>
      </c>
      <c r="C12" s="735"/>
      <c r="D12" s="736">
        <f>C29</f>
        <v>649.29</v>
      </c>
      <c r="E12" s="736"/>
      <c r="F12" s="736"/>
      <c r="G12" s="736"/>
      <c r="H12" s="736"/>
      <c r="I12" s="736">
        <f>H29</f>
        <v>324.64499999999998</v>
      </c>
      <c r="J12" s="736"/>
      <c r="K12" s="736"/>
      <c r="L12" s="773"/>
    </row>
    <row r="13" spans="1:14" x14ac:dyDescent="0.25">
      <c r="A13" s="65"/>
      <c r="B13" s="735" t="s">
        <v>108</v>
      </c>
      <c r="C13" s="735"/>
      <c r="D13" s="736">
        <f>D29</f>
        <v>0</v>
      </c>
      <c r="E13" s="736"/>
      <c r="F13" s="736"/>
      <c r="G13" s="736"/>
      <c r="H13" s="736"/>
      <c r="I13" s="736">
        <f>I28</f>
        <v>0</v>
      </c>
      <c r="J13" s="736"/>
      <c r="K13" s="736"/>
      <c r="L13" s="773"/>
    </row>
    <row r="14" spans="1:14" x14ac:dyDescent="0.25">
      <c r="A14" s="65"/>
      <c r="B14" s="735" t="s">
        <v>109</v>
      </c>
      <c r="C14" s="735"/>
      <c r="D14" s="736">
        <f>E29</f>
        <v>2293.66</v>
      </c>
      <c r="E14" s="736"/>
      <c r="F14" s="736"/>
      <c r="G14" s="736"/>
      <c r="H14" s="736"/>
      <c r="I14" s="736">
        <f>J28</f>
        <v>1146.83</v>
      </c>
      <c r="J14" s="736"/>
      <c r="K14" s="736"/>
      <c r="L14" s="773"/>
    </row>
    <row r="15" spans="1:14" x14ac:dyDescent="0.25">
      <c r="A15" s="65"/>
      <c r="B15" s="221" t="s">
        <v>110</v>
      </c>
      <c r="C15" s="221"/>
      <c r="D15" s="736">
        <f>F29</f>
        <v>914.88</v>
      </c>
      <c r="E15" s="736"/>
      <c r="F15" s="736">
        <f>F29</f>
        <v>914.88</v>
      </c>
      <c r="G15" s="736"/>
      <c r="H15" s="736"/>
      <c r="I15" s="736">
        <f>K29</f>
        <v>457.44</v>
      </c>
      <c r="J15" s="736"/>
      <c r="K15" s="736"/>
      <c r="L15" s="773"/>
    </row>
    <row r="16" spans="1:14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36">
        <f>I12*0.015</f>
        <v>4.869675</v>
      </c>
      <c r="J16" s="736"/>
      <c r="K16" s="736"/>
      <c r="L16" s="773"/>
    </row>
    <row r="17" spans="1:12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36">
        <f>I12*0.029</f>
        <v>9.4147049999999997</v>
      </c>
      <c r="J17" s="736"/>
      <c r="K17" s="736"/>
      <c r="L17" s="773"/>
    </row>
    <row r="18" spans="1:12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36">
        <f>I12*0.02</f>
        <v>6.4928999999999997</v>
      </c>
      <c r="J18" s="736"/>
      <c r="K18" s="736"/>
      <c r="L18" s="773"/>
    </row>
    <row r="19" spans="1:12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36">
        <f>(I12+I15+I16+I17+I18+I14+I13)*0.02</f>
        <v>38.9938456</v>
      </c>
      <c r="J19" s="736"/>
      <c r="K19" s="736"/>
      <c r="L19" s="773"/>
    </row>
    <row r="20" spans="1:12" s="103" customFormat="1" x14ac:dyDescent="0.25">
      <c r="A20" s="107"/>
      <c r="B20" s="571" t="s">
        <v>722</v>
      </c>
      <c r="C20" s="106"/>
      <c r="D20" s="105"/>
      <c r="E20" s="105"/>
      <c r="F20" s="105"/>
      <c r="G20" s="105"/>
      <c r="H20" s="105"/>
      <c r="I20" s="105"/>
      <c r="J20" s="786">
        <f>I10*N1</f>
        <v>2282.6139349636796</v>
      </c>
      <c r="K20" s="786"/>
      <c r="L20" s="104"/>
    </row>
    <row r="21" spans="1:12" x14ac:dyDescent="0.25">
      <c r="A21" s="65"/>
      <c r="B21" s="208" t="s">
        <v>301</v>
      </c>
      <c r="C21" s="208"/>
      <c r="D21" s="208"/>
      <c r="E21" s="208"/>
      <c r="F21" s="208"/>
      <c r="G21" s="208"/>
      <c r="H21" s="208"/>
      <c r="I21" s="101">
        <f>J20/4</f>
        <v>570.65348374091991</v>
      </c>
      <c r="J21" s="101"/>
      <c r="K21" s="101"/>
      <c r="L21" s="102"/>
    </row>
    <row r="22" spans="1:12" x14ac:dyDescent="0.25">
      <c r="A22" s="65"/>
      <c r="B22" s="221"/>
      <c r="C22" s="221"/>
      <c r="D22" s="219"/>
      <c r="E22" s="219"/>
      <c r="F22" s="219"/>
      <c r="G22" s="219"/>
      <c r="H22" s="219"/>
      <c r="I22" s="219"/>
      <c r="J22" s="219"/>
      <c r="K22" s="219"/>
      <c r="L22" s="220"/>
    </row>
    <row r="23" spans="1:12" x14ac:dyDescent="0.25">
      <c r="A23" s="720" t="s">
        <v>295</v>
      </c>
      <c r="B23" s="721"/>
      <c r="C23" s="721"/>
      <c r="D23" s="721"/>
      <c r="E23" s="721"/>
      <c r="F23" s="721"/>
      <c r="G23" s="721"/>
      <c r="H23" s="721"/>
      <c r="I23" s="721"/>
      <c r="J23" s="721"/>
      <c r="K23" s="721"/>
      <c r="L23" s="722"/>
    </row>
    <row r="24" spans="1:12" ht="13.5" customHeight="1" x14ac:dyDescent="0.25">
      <c r="A24" s="723" t="s">
        <v>112</v>
      </c>
      <c r="B24" s="726" t="s">
        <v>113</v>
      </c>
      <c r="C24" s="729" t="s">
        <v>99</v>
      </c>
      <c r="D24" s="730"/>
      <c r="E24" s="730"/>
      <c r="F24" s="730"/>
      <c r="G24" s="731"/>
      <c r="H24" s="729" t="s">
        <v>100</v>
      </c>
      <c r="I24" s="730"/>
      <c r="J24" s="730"/>
      <c r="K24" s="730"/>
      <c r="L24" s="731"/>
    </row>
    <row r="25" spans="1:12" x14ac:dyDescent="0.25">
      <c r="A25" s="724"/>
      <c r="B25" s="727"/>
      <c r="C25" s="732"/>
      <c r="D25" s="733"/>
      <c r="E25" s="733"/>
      <c r="F25" s="733"/>
      <c r="G25" s="734"/>
      <c r="H25" s="732" t="s">
        <v>298</v>
      </c>
      <c r="I25" s="733"/>
      <c r="J25" s="733"/>
      <c r="K25" s="733"/>
      <c r="L25" s="734"/>
    </row>
    <row r="26" spans="1:12" x14ac:dyDescent="0.25">
      <c r="A26" s="725"/>
      <c r="B26" s="728"/>
      <c r="C26" s="72" t="s">
        <v>114</v>
      </c>
      <c r="D26" s="217" t="s">
        <v>115</v>
      </c>
      <c r="E26" s="217" t="s">
        <v>116</v>
      </c>
      <c r="F26" s="217" t="s">
        <v>13</v>
      </c>
      <c r="G26" s="218" t="s">
        <v>117</v>
      </c>
      <c r="H26" s="72" t="s">
        <v>114</v>
      </c>
      <c r="I26" s="217" t="s">
        <v>115</v>
      </c>
      <c r="J26" s="217" t="s">
        <v>116</v>
      </c>
      <c r="K26" s="217" t="s">
        <v>13</v>
      </c>
      <c r="L26" s="218" t="s">
        <v>117</v>
      </c>
    </row>
    <row r="27" spans="1:12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2" s="84" customFormat="1" x14ac:dyDescent="0.25">
      <c r="A28" s="79">
        <v>1</v>
      </c>
      <c r="B28" s="80" t="s">
        <v>302</v>
      </c>
      <c r="C28" s="81">
        <v>649.29</v>
      </c>
      <c r="D28" s="82">
        <v>0</v>
      </c>
      <c r="E28" s="82">
        <v>2293.66</v>
      </c>
      <c r="F28" s="82">
        <v>914.88</v>
      </c>
      <c r="G28" s="83">
        <f>F28+E28+D28+C28</f>
        <v>3857.83</v>
      </c>
      <c r="H28" s="81">
        <f>C28/8*4</f>
        <v>324.64499999999998</v>
      </c>
      <c r="I28" s="82">
        <f t="shared" ref="I28:K28" si="0">D28/8*4</f>
        <v>0</v>
      </c>
      <c r="J28" s="82">
        <f t="shared" si="0"/>
        <v>1146.83</v>
      </c>
      <c r="K28" s="82">
        <f t="shared" si="0"/>
        <v>457.44</v>
      </c>
      <c r="L28" s="83">
        <f>K28+J28+I28+H28</f>
        <v>1928.915</v>
      </c>
    </row>
    <row r="29" spans="1:12" s="53" customFormat="1" ht="21.75" customHeight="1" x14ac:dyDescent="0.25">
      <c r="A29" s="90"/>
      <c r="B29" s="91" t="s">
        <v>122</v>
      </c>
      <c r="C29" s="92">
        <f>C28</f>
        <v>649.29</v>
      </c>
      <c r="D29" s="93">
        <f t="shared" ref="D29:L29" si="1">D28</f>
        <v>0</v>
      </c>
      <c r="E29" s="93">
        <f t="shared" si="1"/>
        <v>2293.66</v>
      </c>
      <c r="F29" s="93">
        <f t="shared" si="1"/>
        <v>914.88</v>
      </c>
      <c r="G29" s="94">
        <f t="shared" si="1"/>
        <v>3857.83</v>
      </c>
      <c r="H29" s="92">
        <f t="shared" si="1"/>
        <v>324.64499999999998</v>
      </c>
      <c r="I29" s="93">
        <f t="shared" si="1"/>
        <v>0</v>
      </c>
      <c r="J29" s="93">
        <f t="shared" si="1"/>
        <v>1146.83</v>
      </c>
      <c r="K29" s="93">
        <f t="shared" si="1"/>
        <v>457.44</v>
      </c>
      <c r="L29" s="94">
        <f t="shared" si="1"/>
        <v>1928.915</v>
      </c>
    </row>
    <row r="30" spans="1:12" x14ac:dyDescent="0.25">
      <c r="A30" s="95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3" spans="4:4" x14ac:dyDescent="0.25">
      <c r="D33" s="100"/>
    </row>
    <row r="34" spans="4:4" x14ac:dyDescent="0.25">
      <c r="D34" s="100"/>
    </row>
    <row r="35" spans="4:4" x14ac:dyDescent="0.25">
      <c r="D35" s="100"/>
    </row>
    <row r="36" spans="4:4" x14ac:dyDescent="0.25">
      <c r="D36" s="100"/>
    </row>
    <row r="37" spans="4:4" x14ac:dyDescent="0.25">
      <c r="D37" s="100"/>
    </row>
    <row r="38" spans="4:4" x14ac:dyDescent="0.25">
      <c r="D38" s="100"/>
    </row>
    <row r="39" spans="4:4" x14ac:dyDescent="0.25">
      <c r="D39" s="100"/>
    </row>
    <row r="40" spans="4:4" x14ac:dyDescent="0.25">
      <c r="D40" s="100"/>
    </row>
    <row r="41" spans="4:4" x14ac:dyDescent="0.25">
      <c r="D41" s="100"/>
    </row>
    <row r="42" spans="4:4" x14ac:dyDescent="0.25">
      <c r="D42" s="100"/>
    </row>
    <row r="43" spans="4:4" x14ac:dyDescent="0.25">
      <c r="D43" s="100"/>
    </row>
    <row r="44" spans="4:4" x14ac:dyDescent="0.25">
      <c r="D44" s="100"/>
    </row>
    <row r="45" spans="4:4" x14ac:dyDescent="0.25">
      <c r="D45" s="100"/>
    </row>
    <row r="46" spans="4:4" x14ac:dyDescent="0.25">
      <c r="D46" s="100"/>
    </row>
    <row r="47" spans="4:4" x14ac:dyDescent="0.25">
      <c r="D47" s="100"/>
    </row>
    <row r="48" spans="4:4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>
        <f>SUM(D33:D60)</f>
        <v>0</v>
      </c>
      <c r="E65" s="49">
        <f>SUM(E45:E64)</f>
        <v>0</v>
      </c>
    </row>
  </sheetData>
  <mergeCells count="40">
    <mergeCell ref="A1:L1"/>
    <mergeCell ref="A3:L3"/>
    <mergeCell ref="A4:L4"/>
    <mergeCell ref="B5:L5"/>
    <mergeCell ref="B6:C7"/>
    <mergeCell ref="D6:H6"/>
    <mergeCell ref="I6:L6"/>
    <mergeCell ref="D7:H7"/>
    <mergeCell ref="I7:L7"/>
    <mergeCell ref="B8:C8"/>
    <mergeCell ref="B9:C9"/>
    <mergeCell ref="I9:L9"/>
    <mergeCell ref="B10:C10"/>
    <mergeCell ref="D10:H10"/>
    <mergeCell ref="I10:L10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H25:L25"/>
    <mergeCell ref="I17:L17"/>
    <mergeCell ref="I18:L18"/>
    <mergeCell ref="I19:L19"/>
    <mergeCell ref="J20:K20"/>
    <mergeCell ref="A23:L23"/>
    <mergeCell ref="A24:A26"/>
    <mergeCell ref="B24:B26"/>
    <mergeCell ref="C24:G24"/>
    <mergeCell ref="H24:L24"/>
    <mergeCell ref="C25:G25"/>
  </mergeCells>
  <pageMargins left="0.39370078740157483" right="0.39370078740157483" top="0.59055118110236227" bottom="0.39370078740157483" header="0" footer="0"/>
  <pageSetup paperSize="9" scale="73" fitToHeight="100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39997558519241921"/>
    <pageSetUpPr fitToPage="1"/>
  </sheetPr>
  <dimension ref="A1:M124"/>
  <sheetViews>
    <sheetView showGridLines="0" view="pageBreakPreview" zoomScale="70" zoomScaleNormal="100" zoomScaleSheetLayoutView="70" workbookViewId="0">
      <selection activeCell="C112" sqref="C112:G112"/>
    </sheetView>
  </sheetViews>
  <sheetFormatPr defaultColWidth="9.140625" defaultRowHeight="15.75" outlineLevelRow="1" x14ac:dyDescent="0.25"/>
  <cols>
    <col min="1" max="1" width="6.28515625" style="99" customWidth="1"/>
    <col min="2" max="2" width="47" style="49" customWidth="1"/>
    <col min="3" max="3" width="16.28515625" style="49" customWidth="1"/>
    <col min="4" max="4" width="12" style="49" customWidth="1"/>
    <col min="5" max="5" width="12.5703125" style="49" customWidth="1"/>
    <col min="6" max="7" width="13.85546875" style="49" customWidth="1"/>
    <col min="8" max="8" width="14.28515625" style="49" customWidth="1"/>
    <col min="9" max="9" width="14.42578125" style="49" bestFit="1" customWidth="1"/>
    <col min="10" max="10" width="11.5703125" style="49" customWidth="1"/>
    <col min="11" max="11" width="14.5703125" style="49" customWidth="1"/>
    <col min="12" max="12" width="15" style="49" customWidth="1"/>
    <col min="13" max="13" width="40.7109375" style="140" customWidth="1"/>
    <col min="14" max="16384" width="9.140625" style="49"/>
  </cols>
  <sheetData>
    <row r="1" spans="1:13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3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3" s="53" customFormat="1" x14ac:dyDescent="0.25">
      <c r="A3" s="746" t="s">
        <v>507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  <c r="M3" s="141"/>
    </row>
    <row r="4" spans="1:13" s="53" customFormat="1" ht="21" customHeight="1" x14ac:dyDescent="0.25">
      <c r="A4" s="748" t="s">
        <v>4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  <c r="M4" s="141"/>
    </row>
    <row r="5" spans="1:13" s="145" customFormat="1" x14ac:dyDescent="0.25">
      <c r="A5" s="142" t="s">
        <v>20</v>
      </c>
      <c r="B5" s="143" t="s">
        <v>779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4"/>
    </row>
    <row r="6" spans="1:13" s="145" customFormat="1" ht="31.9" customHeight="1" x14ac:dyDescent="0.25">
      <c r="A6" s="142" t="s">
        <v>21</v>
      </c>
      <c r="B6" s="820" t="s">
        <v>779</v>
      </c>
      <c r="C6" s="820"/>
      <c r="D6" s="820"/>
      <c r="E6" s="820"/>
      <c r="F6" s="820"/>
      <c r="G6" s="820"/>
      <c r="H6" s="820"/>
      <c r="I6" s="820"/>
      <c r="J6" s="820"/>
      <c r="K6" s="820"/>
      <c r="L6" s="820"/>
      <c r="M6" s="144"/>
    </row>
    <row r="7" spans="1:13" s="145" customFormat="1" ht="32.25" customHeight="1" x14ac:dyDescent="0.25">
      <c r="A7" s="142" t="s">
        <v>63</v>
      </c>
      <c r="B7" s="820"/>
      <c r="C7" s="820"/>
      <c r="D7" s="820"/>
      <c r="E7" s="820"/>
      <c r="F7" s="820"/>
      <c r="G7" s="820"/>
      <c r="H7" s="820"/>
      <c r="I7" s="820"/>
      <c r="J7" s="820"/>
      <c r="K7" s="820"/>
      <c r="L7" s="820"/>
      <c r="M7" s="144"/>
    </row>
    <row r="8" spans="1:13" ht="13.5" customHeight="1" x14ac:dyDescent="0.25">
      <c r="A8" s="54" t="s">
        <v>97</v>
      </c>
      <c r="B8" s="751" t="s">
        <v>98</v>
      </c>
      <c r="C8" s="752"/>
      <c r="D8" s="751" t="s">
        <v>99</v>
      </c>
      <c r="E8" s="755"/>
      <c r="F8" s="755"/>
      <c r="G8" s="755"/>
      <c r="H8" s="752"/>
      <c r="I8" s="751" t="s">
        <v>100</v>
      </c>
      <c r="J8" s="755"/>
      <c r="K8" s="755"/>
      <c r="L8" s="752"/>
    </row>
    <row r="9" spans="1:13" x14ac:dyDescent="0.25">
      <c r="A9" s="146" t="s">
        <v>19</v>
      </c>
      <c r="B9" s="753"/>
      <c r="C9" s="754"/>
      <c r="D9" s="821"/>
      <c r="E9" s="822"/>
      <c r="F9" s="822"/>
      <c r="G9" s="822"/>
      <c r="H9" s="823"/>
      <c r="I9" s="753" t="s">
        <v>4</v>
      </c>
      <c r="J9" s="756"/>
      <c r="K9" s="756"/>
      <c r="L9" s="754"/>
    </row>
    <row r="10" spans="1:13" x14ac:dyDescent="0.25">
      <c r="A10" s="56">
        <v>1</v>
      </c>
      <c r="B10" s="737" t="s">
        <v>101</v>
      </c>
      <c r="C10" s="737"/>
      <c r="D10" s="57"/>
      <c r="E10" s="57"/>
      <c r="F10" s="57"/>
      <c r="G10" s="57"/>
      <c r="H10" s="57"/>
      <c r="I10" s="147"/>
      <c r="J10" s="148"/>
      <c r="K10" s="148"/>
      <c r="L10" s="149"/>
    </row>
    <row r="11" spans="1:13" ht="20.45" customHeight="1" x14ac:dyDescent="0.25">
      <c r="A11" s="224" t="s">
        <v>102</v>
      </c>
      <c r="B11" s="819" t="s">
        <v>186</v>
      </c>
      <c r="C11" s="819"/>
      <c r="D11" s="789" t="s">
        <v>279</v>
      </c>
      <c r="E11" s="789"/>
      <c r="F11" s="789"/>
      <c r="G11" s="789"/>
      <c r="H11" s="789"/>
      <c r="I11" s="789" t="s">
        <v>360</v>
      </c>
      <c r="J11" s="789"/>
      <c r="K11" s="789"/>
      <c r="L11" s="814"/>
      <c r="M11" s="140" t="s">
        <v>187</v>
      </c>
    </row>
    <row r="12" spans="1:13" x14ac:dyDescent="0.25">
      <c r="A12" s="224" t="s">
        <v>104</v>
      </c>
      <c r="B12" s="819" t="s">
        <v>188</v>
      </c>
      <c r="C12" s="819"/>
      <c r="D12" s="789" t="s">
        <v>280</v>
      </c>
      <c r="E12" s="789"/>
      <c r="F12" s="789"/>
      <c r="G12" s="789"/>
      <c r="H12" s="789"/>
      <c r="I12" s="789" t="s">
        <v>285</v>
      </c>
      <c r="J12" s="789"/>
      <c r="K12" s="789"/>
      <c r="L12" s="814"/>
      <c r="M12" s="140" t="s">
        <v>189</v>
      </c>
    </row>
    <row r="13" spans="1:13" x14ac:dyDescent="0.25">
      <c r="A13" s="212"/>
      <c r="B13" s="213"/>
      <c r="C13" s="213"/>
      <c r="D13" s="817"/>
      <c r="E13" s="817"/>
      <c r="F13" s="817"/>
      <c r="G13" s="817"/>
      <c r="H13" s="817"/>
      <c r="I13" s="817"/>
      <c r="J13" s="817"/>
      <c r="K13" s="817"/>
      <c r="L13" s="818"/>
      <c r="M13" s="140" t="s">
        <v>191</v>
      </c>
    </row>
    <row r="14" spans="1:13" x14ac:dyDescent="0.25">
      <c r="A14" s="50" t="s">
        <v>192</v>
      </c>
      <c r="B14" s="108" t="s">
        <v>193</v>
      </c>
      <c r="C14" s="108"/>
      <c r="D14" s="815" t="s">
        <v>194</v>
      </c>
      <c r="E14" s="815"/>
      <c r="F14" s="815"/>
      <c r="G14" s="815"/>
      <c r="H14" s="815"/>
      <c r="I14" s="815" t="s">
        <v>195</v>
      </c>
      <c r="J14" s="815"/>
      <c r="K14" s="815"/>
      <c r="L14" s="816"/>
      <c r="M14" s="140" t="s">
        <v>196</v>
      </c>
    </row>
    <row r="15" spans="1:13" x14ac:dyDescent="0.25">
      <c r="A15" s="50" t="s">
        <v>197</v>
      </c>
      <c r="B15" s="108" t="s">
        <v>198</v>
      </c>
      <c r="C15" s="108"/>
      <c r="D15" s="815" t="s">
        <v>199</v>
      </c>
      <c r="E15" s="815"/>
      <c r="F15" s="815"/>
      <c r="G15" s="815"/>
      <c r="H15" s="815"/>
      <c r="I15" s="815" t="s">
        <v>200</v>
      </c>
      <c r="J15" s="815"/>
      <c r="K15" s="815"/>
      <c r="L15" s="816"/>
      <c r="M15" s="140" t="s">
        <v>201</v>
      </c>
    </row>
    <row r="16" spans="1:13" x14ac:dyDescent="0.25">
      <c r="A16" s="50" t="s">
        <v>202</v>
      </c>
      <c r="B16" s="108" t="s">
        <v>203</v>
      </c>
      <c r="C16" s="108"/>
      <c r="D16" s="815" t="s">
        <v>204</v>
      </c>
      <c r="E16" s="815"/>
      <c r="F16" s="815"/>
      <c r="G16" s="815"/>
      <c r="H16" s="815"/>
      <c r="I16" s="815" t="s">
        <v>205</v>
      </c>
      <c r="J16" s="815"/>
      <c r="K16" s="815"/>
      <c r="L16" s="816"/>
      <c r="M16" s="140" t="s">
        <v>206</v>
      </c>
    </row>
    <row r="17" spans="1:13" x14ac:dyDescent="0.25">
      <c r="A17" s="50" t="s">
        <v>207</v>
      </c>
      <c r="B17" s="108" t="s">
        <v>208</v>
      </c>
      <c r="C17" s="108"/>
      <c r="D17" s="815" t="s">
        <v>209</v>
      </c>
      <c r="E17" s="815"/>
      <c r="F17" s="815"/>
      <c r="G17" s="815"/>
      <c r="H17" s="815"/>
      <c r="I17" s="815" t="s">
        <v>210</v>
      </c>
      <c r="J17" s="815"/>
      <c r="K17" s="815"/>
      <c r="L17" s="816"/>
      <c r="M17" s="140" t="s">
        <v>211</v>
      </c>
    </row>
    <row r="18" spans="1:13" x14ac:dyDescent="0.25">
      <c r="A18" s="50" t="s">
        <v>212</v>
      </c>
      <c r="B18" s="108" t="s">
        <v>213</v>
      </c>
      <c r="C18" s="108"/>
      <c r="D18" s="815"/>
      <c r="E18" s="815"/>
      <c r="F18" s="815"/>
      <c r="G18" s="815"/>
      <c r="H18" s="815"/>
      <c r="I18" s="815" t="s">
        <v>210</v>
      </c>
      <c r="J18" s="815"/>
      <c r="K18" s="815"/>
      <c r="L18" s="816"/>
      <c r="M18" s="140" t="s">
        <v>214</v>
      </c>
    </row>
    <row r="19" spans="1:13" x14ac:dyDescent="0.25">
      <c r="A19" s="50" t="s">
        <v>215</v>
      </c>
      <c r="B19" s="108" t="s">
        <v>216</v>
      </c>
      <c r="C19" s="108"/>
      <c r="D19" s="815" t="s">
        <v>210</v>
      </c>
      <c r="E19" s="815"/>
      <c r="F19" s="815"/>
      <c r="G19" s="815"/>
      <c r="H19" s="815"/>
      <c r="I19" s="815" t="s">
        <v>210</v>
      </c>
      <c r="J19" s="815"/>
      <c r="K19" s="815"/>
      <c r="L19" s="816"/>
      <c r="M19" s="140" t="s">
        <v>217</v>
      </c>
    </row>
    <row r="20" spans="1:13" x14ac:dyDescent="0.25">
      <c r="A20" s="50" t="s">
        <v>218</v>
      </c>
      <c r="B20" s="108" t="s">
        <v>219</v>
      </c>
      <c r="C20" s="108"/>
      <c r="D20" s="815" t="s">
        <v>220</v>
      </c>
      <c r="E20" s="815"/>
      <c r="F20" s="815"/>
      <c r="G20" s="815"/>
      <c r="H20" s="815"/>
      <c r="I20" s="815" t="s">
        <v>221</v>
      </c>
      <c r="J20" s="815"/>
      <c r="K20" s="815"/>
      <c r="L20" s="816"/>
      <c r="M20" s="140" t="s">
        <v>222</v>
      </c>
    </row>
    <row r="21" spans="1:13" x14ac:dyDescent="0.25">
      <c r="A21" s="50" t="s">
        <v>223</v>
      </c>
      <c r="B21" s="108" t="s">
        <v>224</v>
      </c>
      <c r="C21" s="108"/>
      <c r="D21" s="815" t="s">
        <v>225</v>
      </c>
      <c r="E21" s="815"/>
      <c r="F21" s="815"/>
      <c r="G21" s="815"/>
      <c r="H21" s="815"/>
      <c r="I21" s="815" t="s">
        <v>226</v>
      </c>
      <c r="J21" s="815"/>
      <c r="K21" s="815"/>
      <c r="L21" s="816"/>
      <c r="M21" s="140" t="s">
        <v>227</v>
      </c>
    </row>
    <row r="22" spans="1:13" x14ac:dyDescent="0.25">
      <c r="A22" s="50" t="s">
        <v>228</v>
      </c>
      <c r="B22" s="108" t="s">
        <v>229</v>
      </c>
      <c r="C22" s="108"/>
      <c r="D22" s="815" t="s">
        <v>230</v>
      </c>
      <c r="E22" s="815"/>
      <c r="F22" s="815"/>
      <c r="G22" s="815"/>
      <c r="H22" s="815"/>
      <c r="I22" s="815" t="s">
        <v>195</v>
      </c>
      <c r="J22" s="815"/>
      <c r="K22" s="815"/>
      <c r="L22" s="816"/>
      <c r="M22" s="140" t="s">
        <v>231</v>
      </c>
    </row>
    <row r="23" spans="1:13" x14ac:dyDescent="0.25">
      <c r="A23" s="50" t="s">
        <v>232</v>
      </c>
      <c r="B23" s="108" t="s">
        <v>233</v>
      </c>
      <c r="C23" s="108"/>
      <c r="D23" s="815" t="s">
        <v>234</v>
      </c>
      <c r="E23" s="815"/>
      <c r="F23" s="815"/>
      <c r="G23" s="815"/>
      <c r="H23" s="815"/>
      <c r="I23" s="815" t="s">
        <v>235</v>
      </c>
      <c r="J23" s="815"/>
      <c r="K23" s="815"/>
      <c r="L23" s="816"/>
      <c r="M23" s="140" t="s">
        <v>236</v>
      </c>
    </row>
    <row r="24" spans="1:13" x14ac:dyDescent="0.25">
      <c r="A24" s="50" t="s">
        <v>237</v>
      </c>
      <c r="B24" s="108" t="s">
        <v>238</v>
      </c>
      <c r="C24" s="108"/>
      <c r="D24" s="815"/>
      <c r="E24" s="815"/>
      <c r="F24" s="815"/>
      <c r="G24" s="815"/>
      <c r="H24" s="815"/>
      <c r="I24" s="817"/>
      <c r="J24" s="817"/>
      <c r="K24" s="817"/>
      <c r="L24" s="818"/>
      <c r="M24" s="140" t="s">
        <v>239</v>
      </c>
    </row>
    <row r="25" spans="1:13" ht="33.75" customHeight="1" x14ac:dyDescent="0.25">
      <c r="A25" s="64">
        <v>2</v>
      </c>
      <c r="B25" s="741" t="s">
        <v>105</v>
      </c>
      <c r="C25" s="721"/>
      <c r="D25" s="792">
        <f>D27+D28+D29+D30</f>
        <v>647237.10198000004</v>
      </c>
      <c r="E25" s="792"/>
      <c r="F25" s="792"/>
      <c r="G25" s="792"/>
      <c r="H25" s="792"/>
      <c r="I25" s="792">
        <f>I27+I28+I29+I30+I31+I33+I32+I34</f>
        <v>195598.69231472578</v>
      </c>
      <c r="J25" s="792"/>
      <c r="K25" s="792"/>
      <c r="L25" s="793"/>
      <c r="M25" s="140" t="s">
        <v>240</v>
      </c>
    </row>
    <row r="26" spans="1:13" x14ac:dyDescent="0.25">
      <c r="A26" s="65"/>
      <c r="B26" s="735" t="s">
        <v>106</v>
      </c>
      <c r="C26" s="735"/>
      <c r="D26" s="150"/>
      <c r="E26" s="787"/>
      <c r="F26" s="787"/>
      <c r="G26" s="787"/>
      <c r="H26" s="787"/>
      <c r="I26" s="787"/>
      <c r="J26" s="152"/>
      <c r="K26" s="152"/>
      <c r="L26" s="153"/>
      <c r="M26" s="140" t="s">
        <v>241</v>
      </c>
    </row>
    <row r="27" spans="1:13" x14ac:dyDescent="0.25">
      <c r="A27" s="65"/>
      <c r="B27" s="735" t="s">
        <v>107</v>
      </c>
      <c r="C27" s="735"/>
      <c r="D27" s="787">
        <f>C71</f>
        <v>571894.22779000003</v>
      </c>
      <c r="E27" s="787"/>
      <c r="F27" s="787"/>
      <c r="G27" s="787"/>
      <c r="H27" s="787"/>
      <c r="I27" s="787">
        <f>H71</f>
        <v>157605.44313046819</v>
      </c>
      <c r="J27" s="787"/>
      <c r="K27" s="787"/>
      <c r="L27" s="788"/>
    </row>
    <row r="28" spans="1:13" x14ac:dyDescent="0.25">
      <c r="A28" s="65"/>
      <c r="B28" s="735" t="s">
        <v>108</v>
      </c>
      <c r="C28" s="735"/>
      <c r="D28" s="787">
        <f>D71</f>
        <v>167.09</v>
      </c>
      <c r="E28" s="787"/>
      <c r="F28" s="787"/>
      <c r="G28" s="787"/>
      <c r="H28" s="787"/>
      <c r="I28" s="787">
        <f>I71</f>
        <v>117</v>
      </c>
      <c r="J28" s="787"/>
      <c r="K28" s="787"/>
      <c r="L28" s="788"/>
    </row>
    <row r="29" spans="1:13" x14ac:dyDescent="0.25">
      <c r="A29" s="65"/>
      <c r="B29" s="735" t="s">
        <v>109</v>
      </c>
      <c r="C29" s="735"/>
      <c r="D29" s="787">
        <f>E71</f>
        <v>36386.243350000004</v>
      </c>
      <c r="E29" s="787"/>
      <c r="F29" s="787"/>
      <c r="G29" s="787"/>
      <c r="H29" s="787"/>
      <c r="I29" s="787">
        <f>J71</f>
        <v>17594.500476923076</v>
      </c>
      <c r="J29" s="787"/>
      <c r="K29" s="787"/>
      <c r="L29" s="788"/>
    </row>
    <row r="30" spans="1:13" x14ac:dyDescent="0.25">
      <c r="A30" s="65"/>
      <c r="B30" s="112" t="s">
        <v>110</v>
      </c>
      <c r="C30" s="112"/>
      <c r="D30" s="787">
        <f>F71</f>
        <v>38789.540840000009</v>
      </c>
      <c r="E30" s="787"/>
      <c r="F30" s="787">
        <f>F71</f>
        <v>38789.540840000009</v>
      </c>
      <c r="G30" s="787"/>
      <c r="H30" s="787"/>
      <c r="I30" s="787">
        <f>K71</f>
        <v>6352.2438702252239</v>
      </c>
      <c r="J30" s="787"/>
      <c r="K30" s="787"/>
      <c r="L30" s="788"/>
    </row>
    <row r="31" spans="1:13" x14ac:dyDescent="0.25">
      <c r="A31" s="65"/>
      <c r="B31" s="112" t="s">
        <v>85</v>
      </c>
      <c r="C31" s="112"/>
      <c r="D31" s="111"/>
      <c r="E31" s="111"/>
      <c r="F31" s="111"/>
      <c r="G31" s="111"/>
      <c r="H31" s="111"/>
      <c r="I31" s="736">
        <f>(I27+I28)*0.015</f>
        <v>2365.8366469570228</v>
      </c>
      <c r="J31" s="736"/>
      <c r="K31" s="736"/>
      <c r="L31" s="773"/>
      <c r="M31" s="49"/>
    </row>
    <row r="32" spans="1:13" x14ac:dyDescent="0.25">
      <c r="A32" s="65"/>
      <c r="B32" s="112" t="s">
        <v>39</v>
      </c>
      <c r="C32" s="112"/>
      <c r="D32" s="111"/>
      <c r="E32" s="111"/>
      <c r="F32" s="111"/>
      <c r="G32" s="111"/>
      <c r="H32" s="111"/>
      <c r="I32" s="736">
        <f>(I27+I28)*0.029</f>
        <v>4573.9508507835781</v>
      </c>
      <c r="J32" s="736"/>
      <c r="K32" s="736"/>
      <c r="L32" s="773"/>
      <c r="M32" s="49"/>
    </row>
    <row r="33" spans="1:13" x14ac:dyDescent="0.25">
      <c r="A33" s="65"/>
      <c r="B33" s="112" t="s">
        <v>40</v>
      </c>
      <c r="C33" s="112"/>
      <c r="D33" s="111"/>
      <c r="E33" s="111"/>
      <c r="F33" s="111"/>
      <c r="G33" s="111"/>
      <c r="H33" s="111"/>
      <c r="I33" s="736">
        <f>(I27+I28)*0.02</f>
        <v>3154.4488626093639</v>
      </c>
      <c r="J33" s="736"/>
      <c r="K33" s="736"/>
      <c r="L33" s="773"/>
      <c r="M33" s="49"/>
    </row>
    <row r="34" spans="1:13" x14ac:dyDescent="0.25">
      <c r="A34" s="65"/>
      <c r="B34" s="112" t="s">
        <v>163</v>
      </c>
      <c r="C34" s="112"/>
      <c r="D34" s="111"/>
      <c r="E34" s="111"/>
      <c r="F34" s="111"/>
      <c r="G34" s="111"/>
      <c r="H34" s="111"/>
      <c r="I34" s="736">
        <f>(I27+I30+I31+I32+I33+I28+I29)*0.02</f>
        <v>3835.2684767593291</v>
      </c>
      <c r="J34" s="736"/>
      <c r="K34" s="736"/>
      <c r="L34" s="773"/>
      <c r="M34" s="49"/>
    </row>
    <row r="35" spans="1:13" s="103" customFormat="1" x14ac:dyDescent="0.25">
      <c r="A35" s="107"/>
      <c r="B35" s="571" t="s">
        <v>726</v>
      </c>
      <c r="C35" s="106"/>
      <c r="D35" s="105"/>
      <c r="E35" s="105"/>
      <c r="F35" s="105"/>
      <c r="G35" s="105"/>
      <c r="H35" s="105"/>
      <c r="I35" s="105"/>
      <c r="J35" s="105"/>
      <c r="K35" s="105"/>
      <c r="L35" s="104"/>
      <c r="M35" s="103">
        <f>[16]МГЭ!$I$5</f>
        <v>1.4041999999999999</v>
      </c>
    </row>
    <row r="36" spans="1:13" x14ac:dyDescent="0.25">
      <c r="A36" s="65"/>
      <c r="B36" s="735" t="s">
        <v>274</v>
      </c>
      <c r="C36" s="735"/>
      <c r="D36" s="787"/>
      <c r="E36" s="787"/>
      <c r="F36" s="787"/>
      <c r="G36" s="787"/>
      <c r="H36" s="787"/>
      <c r="I36" s="209"/>
      <c r="J36" s="209"/>
      <c r="K36" s="211">
        <f>I25*M35</f>
        <v>274659.68374833791</v>
      </c>
      <c r="L36" s="210"/>
    </row>
    <row r="37" spans="1:13" x14ac:dyDescent="0.25">
      <c r="A37" s="50"/>
      <c r="B37" s="52"/>
      <c r="C37" s="154"/>
      <c r="D37" s="154"/>
      <c r="E37" s="154"/>
      <c r="F37" s="154"/>
      <c r="G37" s="154"/>
      <c r="H37" s="52"/>
      <c r="I37" s="52"/>
      <c r="J37" s="809"/>
      <c r="K37" s="809"/>
      <c r="L37" s="155"/>
    </row>
    <row r="38" spans="1:13" x14ac:dyDescent="0.25">
      <c r="A38" s="50"/>
      <c r="B38" s="52"/>
      <c r="C38" s="154"/>
      <c r="D38" s="154"/>
      <c r="E38" s="154"/>
      <c r="F38" s="154"/>
      <c r="G38" s="154"/>
      <c r="H38" s="52"/>
      <c r="I38" s="52"/>
      <c r="J38" s="203"/>
      <c r="K38" s="203"/>
      <c r="L38" s="155"/>
      <c r="M38" s="140">
        <f>K36/620</f>
        <v>442.99948991667407</v>
      </c>
    </row>
    <row r="39" spans="1:13" s="145" customFormat="1" x14ac:dyDescent="0.25">
      <c r="A39" s="794" t="s">
        <v>111</v>
      </c>
      <c r="B39" s="795"/>
      <c r="C39" s="795"/>
      <c r="D39" s="795"/>
      <c r="E39" s="795"/>
      <c r="F39" s="795"/>
      <c r="G39" s="795"/>
      <c r="H39" s="795"/>
      <c r="I39" s="795"/>
      <c r="J39" s="795"/>
      <c r="K39" s="795"/>
      <c r="L39" s="796"/>
      <c r="M39" s="144"/>
    </row>
    <row r="40" spans="1:13" s="145" customFormat="1" ht="13.5" customHeight="1" x14ac:dyDescent="0.25">
      <c r="A40" s="797" t="s">
        <v>112</v>
      </c>
      <c r="B40" s="800" t="s">
        <v>113</v>
      </c>
      <c r="C40" s="803" t="s">
        <v>99</v>
      </c>
      <c r="D40" s="804"/>
      <c r="E40" s="804"/>
      <c r="F40" s="804"/>
      <c r="G40" s="805"/>
      <c r="H40" s="803" t="s">
        <v>100</v>
      </c>
      <c r="I40" s="804"/>
      <c r="J40" s="804"/>
      <c r="K40" s="804"/>
      <c r="L40" s="805"/>
      <c r="M40" s="144"/>
    </row>
    <row r="41" spans="1:13" s="145" customFormat="1" x14ac:dyDescent="0.25">
      <c r="A41" s="798"/>
      <c r="B41" s="801"/>
      <c r="C41" s="806">
        <f>D9</f>
        <v>0</v>
      </c>
      <c r="D41" s="807"/>
      <c r="E41" s="807"/>
      <c r="F41" s="807"/>
      <c r="G41" s="808"/>
      <c r="H41" s="806" t="str">
        <f>I9</f>
        <v>Тепловые сети</v>
      </c>
      <c r="I41" s="807"/>
      <c r="J41" s="807"/>
      <c r="K41" s="807"/>
      <c r="L41" s="808"/>
      <c r="M41" s="144"/>
    </row>
    <row r="42" spans="1:13" s="145" customFormat="1" x14ac:dyDescent="0.25">
      <c r="A42" s="799"/>
      <c r="B42" s="802"/>
      <c r="C42" s="156" t="s">
        <v>114</v>
      </c>
      <c r="D42" s="157" t="s">
        <v>115</v>
      </c>
      <c r="E42" s="157" t="s">
        <v>116</v>
      </c>
      <c r="F42" s="157" t="s">
        <v>13</v>
      </c>
      <c r="G42" s="158" t="s">
        <v>117</v>
      </c>
      <c r="H42" s="156" t="s">
        <v>114</v>
      </c>
      <c r="I42" s="157" t="s">
        <v>115</v>
      </c>
      <c r="J42" s="157" t="s">
        <v>116</v>
      </c>
      <c r="K42" s="157" t="s">
        <v>13</v>
      </c>
      <c r="L42" s="158" t="s">
        <v>117</v>
      </c>
      <c r="M42" s="144"/>
    </row>
    <row r="43" spans="1:13" s="145" customFormat="1" x14ac:dyDescent="0.25">
      <c r="A43" s="159" t="s">
        <v>118</v>
      </c>
      <c r="B43" s="160">
        <v>2</v>
      </c>
      <c r="C43" s="161">
        <v>3</v>
      </c>
      <c r="D43" s="162">
        <v>4</v>
      </c>
      <c r="E43" s="162">
        <v>5</v>
      </c>
      <c r="F43" s="162">
        <v>6</v>
      </c>
      <c r="G43" s="160">
        <v>7</v>
      </c>
      <c r="H43" s="161">
        <v>8</v>
      </c>
      <c r="I43" s="162">
        <v>9</v>
      </c>
      <c r="J43" s="162">
        <v>10</v>
      </c>
      <c r="K43" s="162">
        <v>11</v>
      </c>
      <c r="L43" s="160">
        <v>12</v>
      </c>
      <c r="M43" s="144"/>
    </row>
    <row r="44" spans="1:13" s="170" customFormat="1" x14ac:dyDescent="0.25">
      <c r="A44" s="163">
        <v>1</v>
      </c>
      <c r="B44" s="164" t="s">
        <v>242</v>
      </c>
      <c r="C44" s="165">
        <f>SUM(C45:C67)</f>
        <v>571881.94779000001</v>
      </c>
      <c r="D44" s="165">
        <f t="shared" ref="D44:F44" si="0">SUM(D45:D67)</f>
        <v>0</v>
      </c>
      <c r="E44" s="165">
        <f t="shared" si="0"/>
        <v>36082.603350000005</v>
      </c>
      <c r="F44" s="165">
        <f t="shared" si="0"/>
        <v>38777.790840000009</v>
      </c>
      <c r="G44" s="166">
        <f t="shared" ref="G44:L44" si="1">SUM(G45:G67)</f>
        <v>646742.34197999979</v>
      </c>
      <c r="H44" s="167">
        <f t="shared" si="1"/>
        <v>157596.1731304682</v>
      </c>
      <c r="I44" s="167">
        <f t="shared" si="1"/>
        <v>0</v>
      </c>
      <c r="J44" s="167">
        <f t="shared" si="1"/>
        <v>17556.800476923076</v>
      </c>
      <c r="K44" s="167">
        <f t="shared" si="1"/>
        <v>6352.2438702252239</v>
      </c>
      <c r="L44" s="168">
        <f t="shared" si="1"/>
        <v>181505.2174776165</v>
      </c>
      <c r="M44" s="169"/>
    </row>
    <row r="45" spans="1:13" s="177" customFormat="1" ht="15.6" customHeight="1" outlineLevel="1" x14ac:dyDescent="0.25">
      <c r="A45" s="171" t="s">
        <v>243</v>
      </c>
      <c r="B45" s="172" t="s">
        <v>244</v>
      </c>
      <c r="C45" s="173">
        <f>95479041.89/1000+1210590.91/1000+81969.16/1000</f>
        <v>96771.60196</v>
      </c>
      <c r="D45" s="174"/>
      <c r="E45" s="174"/>
      <c r="F45" s="174"/>
      <c r="G45" s="175">
        <f t="shared" ref="G45:G70" si="2">F45+E45+D45+C45</f>
        <v>96771.60196</v>
      </c>
      <c r="H45" s="173"/>
      <c r="I45" s="173"/>
      <c r="J45" s="173"/>
      <c r="K45" s="173"/>
      <c r="L45" s="175">
        <f t="shared" ref="L45:L70" si="3">K45+J45+I45+H45</f>
        <v>0</v>
      </c>
      <c r="M45" s="176"/>
    </row>
    <row r="46" spans="1:13" s="177" customFormat="1" ht="40.5" customHeight="1" outlineLevel="1" x14ac:dyDescent="0.25">
      <c r="A46" s="171"/>
      <c r="B46" s="172" t="s">
        <v>245</v>
      </c>
      <c r="C46" s="173">
        <f>(5995616.12+6986602.06+9528581.4+266664.19+2886163.75+12276.92+68301.81+103077.08+138473.15+77357.47+1468264.58+112029.85+37860.49+20265.08+385593.66+1864659.27-1417)/1000-C47</f>
        <v>24455.732312048651</v>
      </c>
      <c r="D46" s="174"/>
      <c r="E46" s="174"/>
      <c r="F46" s="174"/>
      <c r="G46" s="175">
        <f t="shared" si="2"/>
        <v>24455.732312048651</v>
      </c>
      <c r="H46" s="173">
        <f>C46*420/212.21</f>
        <v>48402.090245796302</v>
      </c>
      <c r="I46" s="173">
        <f t="shared" ref="I46:K46" si="4">D46*160/424.42</f>
        <v>0</v>
      </c>
      <c r="J46" s="173">
        <f t="shared" si="4"/>
        <v>0</v>
      </c>
      <c r="K46" s="173">
        <f t="shared" si="4"/>
        <v>0</v>
      </c>
      <c r="L46" s="175">
        <f t="shared" si="3"/>
        <v>48402.090245796302</v>
      </c>
      <c r="M46" s="176"/>
    </row>
    <row r="47" spans="1:13" s="177" customFormat="1" ht="28.15" customHeight="1" outlineLevel="1" x14ac:dyDescent="0.25">
      <c r="A47" s="171"/>
      <c r="B47" s="172" t="s">
        <v>246</v>
      </c>
      <c r="C47" s="173">
        <f>6986602.06/338.685*(338.685-72.325)/1000</f>
        <v>5494.6375679513412</v>
      </c>
      <c r="D47" s="174"/>
      <c r="E47" s="174"/>
      <c r="F47" s="174"/>
      <c r="G47" s="175">
        <f t="shared" si="2"/>
        <v>5494.6375679513412</v>
      </c>
      <c r="H47" s="173"/>
      <c r="I47" s="173"/>
      <c r="J47" s="173"/>
      <c r="K47" s="173"/>
      <c r="L47" s="175">
        <f t="shared" si="3"/>
        <v>0</v>
      </c>
      <c r="M47" s="176"/>
    </row>
    <row r="48" spans="1:13" s="177" customFormat="1" ht="15" outlineLevel="1" x14ac:dyDescent="0.25">
      <c r="A48" s="171"/>
      <c r="B48" s="172" t="s">
        <v>247</v>
      </c>
      <c r="C48" s="173">
        <f>7330153.61/1000</f>
        <v>7330.1536100000003</v>
      </c>
      <c r="D48" s="174"/>
      <c r="E48" s="174"/>
      <c r="F48" s="174"/>
      <c r="G48" s="175">
        <f t="shared" si="2"/>
        <v>7330.1536100000003</v>
      </c>
      <c r="H48" s="173">
        <f>C48/215.14*200</f>
        <v>6814.3103188621371</v>
      </c>
      <c r="I48" s="173">
        <f t="shared" ref="I48:K48" si="5">D48/430.27*200</f>
        <v>0</v>
      </c>
      <c r="J48" s="173">
        <f t="shared" si="5"/>
        <v>0</v>
      </c>
      <c r="K48" s="173">
        <f t="shared" si="5"/>
        <v>0</v>
      </c>
      <c r="L48" s="175">
        <f t="shared" si="3"/>
        <v>6814.3103188621371</v>
      </c>
      <c r="M48" s="176"/>
    </row>
    <row r="49" spans="1:13" s="177" customFormat="1" ht="15" outlineLevel="1" x14ac:dyDescent="0.25">
      <c r="A49" s="171"/>
      <c r="B49" s="172" t="s">
        <v>248</v>
      </c>
      <c r="C49" s="173">
        <f>5036972.76/1000</f>
        <v>5036.9727599999997</v>
      </c>
      <c r="D49" s="174"/>
      <c r="E49" s="174"/>
      <c r="F49" s="174"/>
      <c r="G49" s="175">
        <f t="shared" si="2"/>
        <v>5036.9727599999997</v>
      </c>
      <c r="H49" s="173">
        <f>C49*(52/339)*420/212.21+C49*(80/339)*200/215.14</f>
        <v>2634.1896482562051</v>
      </c>
      <c r="I49" s="173">
        <f t="shared" ref="I49:K49" si="6">D49*(52/339)*160/424.42+D49*(80/339)*200/430.27</f>
        <v>0</v>
      </c>
      <c r="J49" s="173">
        <f t="shared" si="6"/>
        <v>0</v>
      </c>
      <c r="K49" s="173">
        <f t="shared" si="6"/>
        <v>0</v>
      </c>
      <c r="L49" s="175">
        <f t="shared" si="3"/>
        <v>2634.1896482562051</v>
      </c>
      <c r="M49" s="176"/>
    </row>
    <row r="50" spans="1:13" s="177" customFormat="1" ht="30" outlineLevel="1" x14ac:dyDescent="0.25">
      <c r="A50" s="171"/>
      <c r="B50" s="172" t="s">
        <v>249</v>
      </c>
      <c r="C50" s="173">
        <f>(39321.7/107*53+11948411.48)/1000</f>
        <v>11967.888583738317</v>
      </c>
      <c r="D50" s="174"/>
      <c r="E50" s="174"/>
      <c r="F50" s="174"/>
      <c r="G50" s="175">
        <f t="shared" si="2"/>
        <v>11967.888583738317</v>
      </c>
      <c r="H50" s="173">
        <f>C50/420*160</f>
        <v>4559.1956509479305</v>
      </c>
      <c r="I50" s="173">
        <f t="shared" ref="I50:K50" si="7">D50/424.42*160</f>
        <v>0</v>
      </c>
      <c r="J50" s="173">
        <f t="shared" si="7"/>
        <v>0</v>
      </c>
      <c r="K50" s="173">
        <f t="shared" si="7"/>
        <v>0</v>
      </c>
      <c r="L50" s="175">
        <f t="shared" si="3"/>
        <v>4559.1956509479305</v>
      </c>
      <c r="M50" s="176"/>
    </row>
    <row r="51" spans="1:13" s="177" customFormat="1" ht="30" outlineLevel="1" x14ac:dyDescent="0.25">
      <c r="A51" s="171"/>
      <c r="B51" s="172" t="s">
        <v>250</v>
      </c>
      <c r="C51" s="173">
        <f>(8084.83+1122765.43)/1000</f>
        <v>1130.8502599999999</v>
      </c>
      <c r="D51" s="174"/>
      <c r="E51" s="174"/>
      <c r="F51" s="174"/>
      <c r="G51" s="175">
        <f t="shared" si="2"/>
        <v>1130.8502599999999</v>
      </c>
      <c r="H51" s="173">
        <f>C51/215.14*200</f>
        <v>1051.2691828576742</v>
      </c>
      <c r="I51" s="173">
        <f t="shared" ref="I51:K51" si="8">D51/430.27*200</f>
        <v>0</v>
      </c>
      <c r="J51" s="173">
        <f t="shared" si="8"/>
        <v>0</v>
      </c>
      <c r="K51" s="173">
        <f t="shared" si="8"/>
        <v>0</v>
      </c>
      <c r="L51" s="175">
        <f t="shared" si="3"/>
        <v>1051.2691828576742</v>
      </c>
      <c r="M51" s="176"/>
    </row>
    <row r="52" spans="1:13" s="177" customFormat="1" ht="30" outlineLevel="1" x14ac:dyDescent="0.25">
      <c r="A52" s="171"/>
      <c r="B52" s="172" t="s">
        <v>251</v>
      </c>
      <c r="C52" s="173">
        <f>56927.48-C50-C51</f>
        <v>43828.741156261683</v>
      </c>
      <c r="D52" s="174"/>
      <c r="E52" s="174"/>
      <c r="F52" s="174"/>
      <c r="G52" s="175">
        <f t="shared" si="2"/>
        <v>43828.741156261683</v>
      </c>
      <c r="H52" s="173"/>
      <c r="I52" s="173"/>
      <c r="J52" s="173"/>
      <c r="K52" s="173"/>
      <c r="L52" s="175">
        <f t="shared" si="3"/>
        <v>0</v>
      </c>
      <c r="M52" s="176"/>
    </row>
    <row r="53" spans="1:13" s="177" customFormat="1" ht="15" outlineLevel="1" x14ac:dyDescent="0.25">
      <c r="A53" s="171"/>
      <c r="B53" s="172" t="s">
        <v>252</v>
      </c>
      <c r="C53" s="173">
        <f>1549716.39/1000</f>
        <v>1549.7163899999998</v>
      </c>
      <c r="D53" s="174"/>
      <c r="E53" s="174"/>
      <c r="F53" s="174"/>
      <c r="G53" s="175">
        <f t="shared" si="2"/>
        <v>1549.7163899999998</v>
      </c>
      <c r="H53" s="173">
        <f>(200+160)*C53/((1227.48+424.42+430.27+216.38+10.2)/2)</f>
        <v>483.29000576069296</v>
      </c>
      <c r="I53" s="173">
        <f t="shared" ref="I53:K53" si="9">(200+160)*D53/(1227.48+424.42+430.27+216.38+10.2)</f>
        <v>0</v>
      </c>
      <c r="J53" s="173">
        <f t="shared" si="9"/>
        <v>0</v>
      </c>
      <c r="K53" s="173">
        <f t="shared" si="9"/>
        <v>0</v>
      </c>
      <c r="L53" s="175">
        <f t="shared" si="3"/>
        <v>483.29000576069296</v>
      </c>
      <c r="M53" s="176"/>
    </row>
    <row r="54" spans="1:13" s="177" customFormat="1" ht="28.9" customHeight="1" outlineLevel="1" x14ac:dyDescent="0.25">
      <c r="A54" s="171"/>
      <c r="B54" s="178" t="s">
        <v>281</v>
      </c>
      <c r="C54" s="570">
        <f>123480266.99/1000-4.41-20000</f>
        <v>103475.85698999999</v>
      </c>
      <c r="D54" s="174"/>
      <c r="E54" s="174"/>
      <c r="F54" s="174">
        <f>36375363.74/1000+1173173.81/1000+4.41</f>
        <v>37552.947550000004</v>
      </c>
      <c r="G54" s="175">
        <f t="shared" si="2"/>
        <v>141028.80453999998</v>
      </c>
      <c r="H54" s="173">
        <f>C54/((1227.48+424.42+430.27+216.38+10.2)/2)*(200+160)</f>
        <v>32269.677112203572</v>
      </c>
      <c r="I54" s="173">
        <f t="shared" ref="I54:K54" si="10">D54/(1227.48+424.42+430.27+216.38+10.2)*(200+160)</f>
        <v>0</v>
      </c>
      <c r="J54" s="173">
        <f t="shared" si="10"/>
        <v>0</v>
      </c>
      <c r="K54" s="173">
        <f t="shared" si="10"/>
        <v>5855.5760121277763</v>
      </c>
      <c r="L54" s="175">
        <f t="shared" si="3"/>
        <v>38125.25312433135</v>
      </c>
      <c r="M54" s="176"/>
    </row>
    <row r="55" spans="1:13" s="177" customFormat="1" ht="45" outlineLevel="1" x14ac:dyDescent="0.25">
      <c r="A55" s="171"/>
      <c r="B55" s="178" t="s">
        <v>253</v>
      </c>
      <c r="C55" s="173">
        <f>68263066.74/1000+28352645.86/1000-E55</f>
        <v>61927.672599999998</v>
      </c>
      <c r="D55" s="174"/>
      <c r="E55" s="174">
        <v>34688.04</v>
      </c>
      <c r="F55" s="174"/>
      <c r="G55" s="175">
        <f t="shared" si="2"/>
        <v>96615.712599999999</v>
      </c>
      <c r="H55" s="173">
        <f>C55/12*(2+4)</f>
        <v>30963.836299999999</v>
      </c>
      <c r="I55" s="173">
        <f t="shared" ref="I55:K55" si="11">D55/12*(2+4)</f>
        <v>0</v>
      </c>
      <c r="J55" s="173">
        <f t="shared" si="11"/>
        <v>17344.02</v>
      </c>
      <c r="K55" s="173">
        <f t="shared" si="11"/>
        <v>0</v>
      </c>
      <c r="L55" s="175">
        <f t="shared" si="3"/>
        <v>48307.856299999999</v>
      </c>
      <c r="M55" s="616" t="e">
        <f>'ПНЦ на УК'!H153</f>
        <v>#REF!</v>
      </c>
    </row>
    <row r="56" spans="1:13" s="177" customFormat="1" ht="15" outlineLevel="1" x14ac:dyDescent="0.25">
      <c r="A56" s="171"/>
      <c r="B56" s="178" t="s">
        <v>254</v>
      </c>
      <c r="C56" s="173">
        <f>2791845.95/1000</f>
        <v>2791.8459500000004</v>
      </c>
      <c r="D56" s="174"/>
      <c r="E56" s="174"/>
      <c r="F56" s="174"/>
      <c r="G56" s="175">
        <f t="shared" si="2"/>
        <v>2791.8459500000004</v>
      </c>
      <c r="H56" s="173">
        <f>C56/63*10</f>
        <v>443.15015079365082</v>
      </c>
      <c r="I56" s="173">
        <f t="shared" ref="I56:K56" si="12">D56/63*10</f>
        <v>0</v>
      </c>
      <c r="J56" s="173">
        <f t="shared" si="12"/>
        <v>0</v>
      </c>
      <c r="K56" s="173">
        <f t="shared" si="12"/>
        <v>0</v>
      </c>
      <c r="L56" s="175">
        <f t="shared" si="3"/>
        <v>443.15015079365082</v>
      </c>
      <c r="M56" s="616">
        <f>'ПНЦ на УК'!J153</f>
        <v>0</v>
      </c>
    </row>
    <row r="57" spans="1:13" s="177" customFormat="1" ht="15" outlineLevel="1" x14ac:dyDescent="0.25">
      <c r="A57" s="171"/>
      <c r="B57" s="178" t="s">
        <v>233</v>
      </c>
      <c r="C57" s="173">
        <f>664545.69/1000</f>
        <v>664.54568999999992</v>
      </c>
      <c r="D57" s="174"/>
      <c r="E57" s="174"/>
      <c r="F57" s="174"/>
      <c r="G57" s="175">
        <f t="shared" si="2"/>
        <v>664.54568999999992</v>
      </c>
      <c r="H57" s="173">
        <f>C57/465.2*100</f>
        <v>142.85161006018916</v>
      </c>
      <c r="I57" s="173">
        <f t="shared" ref="I57:K57" si="13">D57/465.2*100</f>
        <v>0</v>
      </c>
      <c r="J57" s="173">
        <f t="shared" si="13"/>
        <v>0</v>
      </c>
      <c r="K57" s="173">
        <f t="shared" si="13"/>
        <v>0</v>
      </c>
      <c r="L57" s="175">
        <f t="shared" si="3"/>
        <v>142.85161006018916</v>
      </c>
      <c r="M57" s="616" t="e">
        <f>M55-M56</f>
        <v>#REF!</v>
      </c>
    </row>
    <row r="58" spans="1:13" s="177" customFormat="1" ht="15" outlineLevel="1" x14ac:dyDescent="0.25">
      <c r="A58" s="171"/>
      <c r="B58" s="178" t="s">
        <v>255</v>
      </c>
      <c r="C58" s="173">
        <f>307704.92/1000</f>
        <v>307.70491999999996</v>
      </c>
      <c r="D58" s="174"/>
      <c r="E58" s="174"/>
      <c r="F58" s="174"/>
      <c r="G58" s="175">
        <f t="shared" si="2"/>
        <v>307.70491999999996</v>
      </c>
      <c r="H58" s="173"/>
      <c r="I58" s="173"/>
      <c r="J58" s="173"/>
      <c r="K58" s="173"/>
      <c r="L58" s="175">
        <f t="shared" si="3"/>
        <v>0</v>
      </c>
      <c r="M58" s="176"/>
    </row>
    <row r="59" spans="1:13" s="185" customFormat="1" ht="15" outlineLevel="1" x14ac:dyDescent="0.25">
      <c r="A59" s="179"/>
      <c r="B59" s="180" t="s">
        <v>256</v>
      </c>
      <c r="C59" s="181">
        <f>104940139.76/1000-7.6</f>
        <v>104932.53976</v>
      </c>
      <c r="D59" s="182"/>
      <c r="E59" s="182"/>
      <c r="F59" s="182"/>
      <c r="G59" s="183">
        <f>F59+E59+D59+C59</f>
        <v>104932.53976</v>
      </c>
      <c r="H59" s="181"/>
      <c r="I59" s="181"/>
      <c r="J59" s="181"/>
      <c r="K59" s="181"/>
      <c r="L59" s="183">
        <f>K59+J59+I59+H59</f>
        <v>0</v>
      </c>
      <c r="M59" s="184"/>
    </row>
    <row r="60" spans="1:13" s="177" customFormat="1" ht="15" outlineLevel="1" x14ac:dyDescent="0.25">
      <c r="A60" s="171"/>
      <c r="B60" s="186" t="s">
        <v>257</v>
      </c>
      <c r="C60" s="173">
        <f>4023032.75/1000+812611/1000</f>
        <v>4835.6437500000002</v>
      </c>
      <c r="D60" s="174"/>
      <c r="E60" s="174"/>
      <c r="F60" s="174"/>
      <c r="G60" s="175">
        <f t="shared" si="2"/>
        <v>4835.6437500000002</v>
      </c>
      <c r="H60" s="173"/>
      <c r="I60" s="173"/>
      <c r="J60" s="173"/>
      <c r="K60" s="173"/>
      <c r="L60" s="175">
        <f t="shared" si="3"/>
        <v>0</v>
      </c>
      <c r="M60" s="176"/>
    </row>
    <row r="61" spans="1:13" s="185" customFormat="1" ht="15" outlineLevel="1" x14ac:dyDescent="0.25">
      <c r="A61" s="179"/>
      <c r="B61" s="186" t="s">
        <v>258</v>
      </c>
      <c r="C61" s="181">
        <f>991739.64/1000+2536022.5/1000+614624.91/1000</f>
        <v>4142.3870499999994</v>
      </c>
      <c r="D61" s="182"/>
      <c r="E61" s="182"/>
      <c r="F61" s="182"/>
      <c r="G61" s="183">
        <f t="shared" si="2"/>
        <v>4142.3870499999994</v>
      </c>
      <c r="H61" s="181">
        <f>C61/155*50</f>
        <v>1336.253887096774</v>
      </c>
      <c r="I61" s="181">
        <f t="shared" ref="I61:K61" si="14">D61/155*50</f>
        <v>0</v>
      </c>
      <c r="J61" s="181">
        <f t="shared" si="14"/>
        <v>0</v>
      </c>
      <c r="K61" s="181">
        <f t="shared" si="14"/>
        <v>0</v>
      </c>
      <c r="L61" s="183">
        <f t="shared" si="3"/>
        <v>1336.253887096774</v>
      </c>
      <c r="M61" s="184"/>
    </row>
    <row r="62" spans="1:13" s="185" customFormat="1" ht="15" outlineLevel="1" x14ac:dyDescent="0.25">
      <c r="A62" s="179"/>
      <c r="B62" s="186" t="s">
        <v>259</v>
      </c>
      <c r="C62" s="181">
        <f>32444114.38/1000+8970608.17/1000</f>
        <v>41414.722549999999</v>
      </c>
      <c r="D62" s="182"/>
      <c r="E62" s="182"/>
      <c r="F62" s="182"/>
      <c r="G62" s="183">
        <f t="shared" si="2"/>
        <v>41414.722549999999</v>
      </c>
      <c r="H62" s="181">
        <f>C62/1188*360</f>
        <v>12549.915924242425</v>
      </c>
      <c r="I62" s="181">
        <f t="shared" ref="I62:K62" si="15">D62/1188*360</f>
        <v>0</v>
      </c>
      <c r="J62" s="181">
        <f t="shared" si="15"/>
        <v>0</v>
      </c>
      <c r="K62" s="181">
        <f t="shared" si="15"/>
        <v>0</v>
      </c>
      <c r="L62" s="183">
        <f t="shared" si="3"/>
        <v>12549.915924242425</v>
      </c>
      <c r="M62" s="184"/>
    </row>
    <row r="63" spans="1:13" s="185" customFormat="1" ht="15" outlineLevel="1" x14ac:dyDescent="0.25">
      <c r="A63" s="179"/>
      <c r="B63" s="186" t="s">
        <v>260</v>
      </c>
      <c r="C63" s="181">
        <f>21805660.13/1000+2853882.71/1000-E63</f>
        <v>23276.46974</v>
      </c>
      <c r="D63" s="182"/>
      <c r="E63" s="182">
        <f>1383073.1/1000</f>
        <v>1383.0731000000001</v>
      </c>
      <c r="F63" s="182"/>
      <c r="G63" s="183">
        <f t="shared" si="2"/>
        <v>24659.542840000002</v>
      </c>
      <c r="H63" s="181">
        <f>C63/13*2</f>
        <v>3580.9953446153845</v>
      </c>
      <c r="I63" s="181">
        <f t="shared" ref="I63:K63" si="16">D63/13*2</f>
        <v>0</v>
      </c>
      <c r="J63" s="181">
        <f t="shared" si="16"/>
        <v>212.78047692307695</v>
      </c>
      <c r="K63" s="181">
        <f t="shared" si="16"/>
        <v>0</v>
      </c>
      <c r="L63" s="183">
        <f t="shared" si="3"/>
        <v>3793.7758215384615</v>
      </c>
      <c r="M63" s="184"/>
    </row>
    <row r="64" spans="1:13" s="185" customFormat="1" ht="60" outlineLevel="1" x14ac:dyDescent="0.25">
      <c r="A64" s="179"/>
      <c r="B64" s="180" t="s">
        <v>261</v>
      </c>
      <c r="C64" s="181">
        <f>19568636.37/1000</f>
        <v>19568.63637</v>
      </c>
      <c r="D64" s="182"/>
      <c r="E64" s="182"/>
      <c r="F64" s="182">
        <f>955383.9/1000</f>
        <v>955.38390000000004</v>
      </c>
      <c r="G64" s="183">
        <f t="shared" si="2"/>
        <v>20524.020270000001</v>
      </c>
      <c r="H64" s="181">
        <f>C64/(1188+155+127+254)*(360+50)</f>
        <v>4653.7940323085841</v>
      </c>
      <c r="I64" s="181">
        <f t="shared" ref="I64:K64" si="17">D64/(1188+155+127+254)*(360+50)</f>
        <v>0</v>
      </c>
      <c r="J64" s="181">
        <f t="shared" si="17"/>
        <v>0</v>
      </c>
      <c r="K64" s="181">
        <f t="shared" si="17"/>
        <v>227.20846809744779</v>
      </c>
      <c r="L64" s="183">
        <f t="shared" si="3"/>
        <v>4881.0025004060317</v>
      </c>
      <c r="M64" s="184"/>
    </row>
    <row r="65" spans="1:13" s="185" customFormat="1" ht="15" outlineLevel="1" x14ac:dyDescent="0.25">
      <c r="A65" s="179"/>
      <c r="B65" s="180" t="s">
        <v>262</v>
      </c>
      <c r="C65" s="181">
        <f>745130.94/1000-E65</f>
        <v>733.64068999999995</v>
      </c>
      <c r="D65" s="182"/>
      <c r="E65" s="182">
        <f>11490.25/1000</f>
        <v>11.49025</v>
      </c>
      <c r="F65" s="182"/>
      <c r="G65" s="183">
        <f t="shared" si="2"/>
        <v>745.1309399999999</v>
      </c>
      <c r="H65" s="181"/>
      <c r="I65" s="181"/>
      <c r="J65" s="181"/>
      <c r="K65" s="181"/>
      <c r="L65" s="183">
        <f t="shared" si="3"/>
        <v>0</v>
      </c>
      <c r="M65" s="184"/>
    </row>
    <row r="66" spans="1:13" s="185" customFormat="1" ht="30" outlineLevel="1" x14ac:dyDescent="0.25">
      <c r="A66" s="179"/>
      <c r="B66" s="180" t="s">
        <v>263</v>
      </c>
      <c r="C66" s="181"/>
      <c r="D66" s="182"/>
      <c r="E66" s="182"/>
      <c r="F66" s="182"/>
      <c r="G66" s="183"/>
      <c r="H66" s="181">
        <f>(863959.43/3*1+1179380.11)/1000</f>
        <v>1467.366586666667</v>
      </c>
      <c r="I66" s="181"/>
      <c r="J66" s="181"/>
      <c r="K66" s="181"/>
      <c r="L66" s="183">
        <f t="shared" si="3"/>
        <v>1467.366586666667</v>
      </c>
      <c r="M66" s="184"/>
    </row>
    <row r="67" spans="1:13" s="177" customFormat="1" ht="15" outlineLevel="1" x14ac:dyDescent="0.25">
      <c r="A67" s="171"/>
      <c r="B67" s="178" t="s">
        <v>264</v>
      </c>
      <c r="C67" s="173">
        <f>6513446.52/1000-F67</f>
        <v>6243.9871299999995</v>
      </c>
      <c r="D67" s="174">
        <v>0</v>
      </c>
      <c r="E67" s="174">
        <v>0</v>
      </c>
      <c r="F67" s="174">
        <f>269459.39/1000</f>
        <v>269.45939000000004</v>
      </c>
      <c r="G67" s="175">
        <f t="shared" si="2"/>
        <v>6513.4465199999995</v>
      </c>
      <c r="H67" s="173">
        <f>C67</f>
        <v>6243.9871299999995</v>
      </c>
      <c r="I67" s="173">
        <f t="shared" ref="I67:J67" si="18">D67</f>
        <v>0</v>
      </c>
      <c r="J67" s="173">
        <f t="shared" si="18"/>
        <v>0</v>
      </c>
      <c r="K67" s="173">
        <f>F67</f>
        <v>269.45939000000004</v>
      </c>
      <c r="L67" s="175">
        <f t="shared" si="3"/>
        <v>6513.4465199999995</v>
      </c>
      <c r="M67" s="176" t="s">
        <v>5</v>
      </c>
    </row>
    <row r="68" spans="1:13" s="84" customFormat="1" ht="45" customHeight="1" x14ac:dyDescent="0.25">
      <c r="A68" s="79" t="s">
        <v>172</v>
      </c>
      <c r="B68" s="80" t="s">
        <v>265</v>
      </c>
      <c r="C68" s="187">
        <v>0</v>
      </c>
      <c r="D68" s="188">
        <v>8.6</v>
      </c>
      <c r="E68" s="82">
        <v>127.4</v>
      </c>
      <c r="F68" s="82">
        <v>5.42</v>
      </c>
      <c r="G68" s="168">
        <f t="shared" si="2"/>
        <v>141.41999999999999</v>
      </c>
      <c r="H68" s="81">
        <v>0</v>
      </c>
      <c r="I68" s="81">
        <v>0</v>
      </c>
      <c r="J68" s="81">
        <v>0</v>
      </c>
      <c r="K68" s="81">
        <v>0</v>
      </c>
      <c r="L68" s="189">
        <f t="shared" si="3"/>
        <v>0</v>
      </c>
      <c r="M68" s="190"/>
    </row>
    <row r="69" spans="1:13" s="84" customFormat="1" ht="47.45" customHeight="1" x14ac:dyDescent="0.25">
      <c r="A69" s="79" t="s">
        <v>120</v>
      </c>
      <c r="B69" s="80" t="s">
        <v>266</v>
      </c>
      <c r="C69" s="187">
        <v>3.01</v>
      </c>
      <c r="D69" s="188">
        <v>41.49</v>
      </c>
      <c r="E69" s="82">
        <v>138.54</v>
      </c>
      <c r="F69" s="82">
        <v>6.33</v>
      </c>
      <c r="G69" s="168">
        <f t="shared" si="2"/>
        <v>189.37</v>
      </c>
      <c r="H69" s="81">
        <v>0</v>
      </c>
      <c r="I69" s="81">
        <v>0</v>
      </c>
      <c r="J69" s="81">
        <v>0</v>
      </c>
      <c r="K69" s="81">
        <v>0</v>
      </c>
      <c r="L69" s="189">
        <f t="shared" si="3"/>
        <v>0</v>
      </c>
      <c r="M69" s="190"/>
    </row>
    <row r="70" spans="1:13" s="84" customFormat="1" x14ac:dyDescent="0.25">
      <c r="A70" s="79" t="s">
        <v>121</v>
      </c>
      <c r="B70" s="80" t="s">
        <v>267</v>
      </c>
      <c r="C70" s="187">
        <v>9.27</v>
      </c>
      <c r="D70" s="188">
        <v>117</v>
      </c>
      <c r="E70" s="82">
        <v>37.700000000000003</v>
      </c>
      <c r="F70" s="82"/>
      <c r="G70" s="168">
        <f t="shared" si="2"/>
        <v>163.97</v>
      </c>
      <c r="H70" s="81">
        <f>C70</f>
        <v>9.27</v>
      </c>
      <c r="I70" s="81">
        <f t="shared" ref="I70:K70" si="19">D70</f>
        <v>117</v>
      </c>
      <c r="J70" s="81">
        <f t="shared" si="19"/>
        <v>37.700000000000003</v>
      </c>
      <c r="K70" s="81">
        <f t="shared" si="19"/>
        <v>0</v>
      </c>
      <c r="L70" s="189">
        <f t="shared" si="3"/>
        <v>163.97</v>
      </c>
      <c r="M70" s="190"/>
    </row>
    <row r="71" spans="1:13" s="53" customFormat="1" ht="21.75" customHeight="1" x14ac:dyDescent="0.25">
      <c r="A71" s="90"/>
      <c r="B71" s="91" t="s">
        <v>122</v>
      </c>
      <c r="C71" s="92">
        <f t="shared" ref="C71:L71" si="20">C44+C70+C69+C68</f>
        <v>571894.22779000003</v>
      </c>
      <c r="D71" s="92">
        <f t="shared" si="20"/>
        <v>167.09</v>
      </c>
      <c r="E71" s="92">
        <f t="shared" si="20"/>
        <v>36386.243350000004</v>
      </c>
      <c r="F71" s="92">
        <f t="shared" si="20"/>
        <v>38789.540840000009</v>
      </c>
      <c r="G71" s="92">
        <f>G44+G70+G69+G68</f>
        <v>647237.1019799998</v>
      </c>
      <c r="H71" s="92">
        <f t="shared" si="20"/>
        <v>157605.44313046819</v>
      </c>
      <c r="I71" s="92">
        <f t="shared" si="20"/>
        <v>117</v>
      </c>
      <c r="J71" s="92">
        <f t="shared" si="20"/>
        <v>17594.500476923076</v>
      </c>
      <c r="K71" s="92">
        <f t="shared" si="20"/>
        <v>6352.2438702252239</v>
      </c>
      <c r="L71" s="92">
        <f t="shared" si="20"/>
        <v>181669.18747761651</v>
      </c>
      <c r="M71" s="141"/>
    </row>
    <row r="72" spans="1:13" s="53" customFormat="1" x14ac:dyDescent="0.25">
      <c r="A72" s="127"/>
      <c r="B72" s="128"/>
      <c r="C72" s="129"/>
      <c r="D72" s="130"/>
      <c r="E72" s="130"/>
      <c r="F72" s="130"/>
      <c r="G72" s="131"/>
      <c r="H72" s="129"/>
      <c r="I72" s="129"/>
      <c r="J72" s="129"/>
      <c r="K72" s="129"/>
      <c r="L72" s="129"/>
      <c r="M72" s="140"/>
    </row>
    <row r="73" spans="1:13" x14ac:dyDescent="0.25">
      <c r="A73" s="224" t="s">
        <v>104</v>
      </c>
      <c r="B73" s="225" t="s">
        <v>286</v>
      </c>
      <c r="C73" s="225"/>
      <c r="D73" s="789"/>
      <c r="E73" s="789"/>
      <c r="F73" s="789"/>
      <c r="G73" s="789"/>
      <c r="H73" s="789"/>
      <c r="I73" s="789" t="s">
        <v>190</v>
      </c>
      <c r="J73" s="789"/>
      <c r="K73" s="789"/>
      <c r="L73" s="814"/>
    </row>
    <row r="74" spans="1:13" ht="33.75" customHeight="1" x14ac:dyDescent="0.25">
      <c r="A74" s="64">
        <v>2</v>
      </c>
      <c r="B74" s="741" t="s">
        <v>287</v>
      </c>
      <c r="C74" s="721"/>
      <c r="D74" s="792"/>
      <c r="E74" s="792"/>
      <c r="F74" s="792"/>
      <c r="G74" s="792"/>
      <c r="H74" s="792"/>
      <c r="I74" s="792">
        <f>I76+I77+I78+I79</f>
        <v>33506.511568386355</v>
      </c>
      <c r="J74" s="792"/>
      <c r="K74" s="792"/>
      <c r="L74" s="793"/>
    </row>
    <row r="75" spans="1:13" x14ac:dyDescent="0.25">
      <c r="A75" s="65"/>
      <c r="B75" s="735" t="s">
        <v>106</v>
      </c>
      <c r="C75" s="735"/>
      <c r="D75" s="151"/>
      <c r="E75" s="787"/>
      <c r="F75" s="787"/>
      <c r="G75" s="787"/>
      <c r="H75" s="787"/>
      <c r="I75" s="787"/>
      <c r="J75" s="152"/>
      <c r="K75" s="152"/>
      <c r="L75" s="153"/>
    </row>
    <row r="76" spans="1:13" x14ac:dyDescent="0.25">
      <c r="A76" s="65"/>
      <c r="B76" s="735" t="s">
        <v>107</v>
      </c>
      <c r="C76" s="735"/>
      <c r="D76" s="787"/>
      <c r="E76" s="787"/>
      <c r="F76" s="787"/>
      <c r="G76" s="787"/>
      <c r="H76" s="787"/>
      <c r="I76" s="787">
        <f>H94</f>
        <v>31757.491215873019</v>
      </c>
      <c r="J76" s="787"/>
      <c r="K76" s="787"/>
      <c r="L76" s="788"/>
    </row>
    <row r="77" spans="1:13" x14ac:dyDescent="0.25">
      <c r="A77" s="65"/>
      <c r="B77" s="735" t="s">
        <v>108</v>
      </c>
      <c r="C77" s="735"/>
      <c r="D77" s="787"/>
      <c r="E77" s="787"/>
      <c r="F77" s="787"/>
      <c r="G77" s="787"/>
      <c r="H77" s="787"/>
      <c r="I77" s="787">
        <f>I122</f>
        <v>0</v>
      </c>
      <c r="J77" s="787"/>
      <c r="K77" s="787"/>
      <c r="L77" s="788"/>
    </row>
    <row r="78" spans="1:13" x14ac:dyDescent="0.25">
      <c r="A78" s="65"/>
      <c r="B78" s="735" t="s">
        <v>109</v>
      </c>
      <c r="C78" s="735"/>
      <c r="D78" s="787"/>
      <c r="E78" s="787"/>
      <c r="F78" s="787"/>
      <c r="G78" s="787"/>
      <c r="H78" s="787"/>
      <c r="I78" s="787">
        <f>J122</f>
        <v>0</v>
      </c>
      <c r="J78" s="787"/>
      <c r="K78" s="787"/>
      <c r="L78" s="788"/>
    </row>
    <row r="79" spans="1:13" x14ac:dyDescent="0.25">
      <c r="A79" s="65"/>
      <c r="B79" s="137" t="s">
        <v>110</v>
      </c>
      <c r="C79" s="137"/>
      <c r="D79" s="787"/>
      <c r="E79" s="787"/>
      <c r="F79" s="787"/>
      <c r="G79" s="787"/>
      <c r="H79" s="787"/>
      <c r="I79" s="787">
        <f>K94</f>
        <v>1749.0203525133331</v>
      </c>
      <c r="J79" s="787"/>
      <c r="K79" s="787"/>
      <c r="L79" s="788"/>
    </row>
    <row r="80" spans="1:13" x14ac:dyDescent="0.25">
      <c r="A80" s="65"/>
      <c r="B80" s="137" t="s">
        <v>85</v>
      </c>
      <c r="C80" s="137"/>
      <c r="D80" s="135"/>
      <c r="E80" s="135"/>
      <c r="F80" s="135"/>
      <c r="G80" s="135"/>
      <c r="H80" s="135"/>
      <c r="I80" s="736">
        <f>(I76+I77)*0.015</f>
        <v>476.36236823809526</v>
      </c>
      <c r="J80" s="736"/>
      <c r="K80" s="736"/>
      <c r="L80" s="773"/>
      <c r="M80" s="49"/>
    </row>
    <row r="81" spans="1:13" x14ac:dyDescent="0.25">
      <c r="A81" s="65"/>
      <c r="B81" s="137" t="s">
        <v>39</v>
      </c>
      <c r="C81" s="137"/>
      <c r="D81" s="135"/>
      <c r="E81" s="135"/>
      <c r="F81" s="135"/>
      <c r="G81" s="135"/>
      <c r="H81" s="135"/>
      <c r="I81" s="736">
        <f>(I76+I77)*0.029</f>
        <v>920.96724526031755</v>
      </c>
      <c r="J81" s="736"/>
      <c r="K81" s="736"/>
      <c r="L81" s="773"/>
      <c r="M81" s="49"/>
    </row>
    <row r="82" spans="1:13" x14ac:dyDescent="0.25">
      <c r="A82" s="65"/>
      <c r="B82" s="137" t="s">
        <v>40</v>
      </c>
      <c r="C82" s="137"/>
      <c r="D82" s="135"/>
      <c r="E82" s="135"/>
      <c r="F82" s="135"/>
      <c r="G82" s="135"/>
      <c r="H82" s="135"/>
      <c r="I82" s="736">
        <f>(I76+I77)*0.02</f>
        <v>635.14982431746034</v>
      </c>
      <c r="J82" s="736"/>
      <c r="K82" s="736"/>
      <c r="L82" s="773"/>
      <c r="M82" s="49"/>
    </row>
    <row r="83" spans="1:13" x14ac:dyDescent="0.25">
      <c r="A83" s="65"/>
      <c r="B83" s="137" t="s">
        <v>163</v>
      </c>
      <c r="C83" s="137"/>
      <c r="D83" s="135"/>
      <c r="E83" s="135"/>
      <c r="F83" s="135"/>
      <c r="G83" s="135"/>
      <c r="H83" s="135"/>
      <c r="I83" s="736">
        <f>(I76+I79+I80+I81+I82+I77+I78)*0.02</f>
        <v>710.77982012404448</v>
      </c>
      <c r="J83" s="736"/>
      <c r="K83" s="736"/>
      <c r="L83" s="773"/>
      <c r="M83" s="49"/>
    </row>
    <row r="84" spans="1:13" s="578" customFormat="1" x14ac:dyDescent="0.25">
      <c r="A84" s="576"/>
      <c r="B84" s="571" t="s">
        <v>727</v>
      </c>
      <c r="C84" s="571"/>
      <c r="D84" s="562"/>
      <c r="E84" s="562"/>
      <c r="F84" s="562"/>
      <c r="G84" s="562"/>
      <c r="H84" s="562"/>
      <c r="I84" s="562"/>
      <c r="J84" s="562"/>
      <c r="K84" s="562"/>
      <c r="L84" s="577"/>
      <c r="M84" s="578">
        <f>[16]МГЭ!$I$6</f>
        <v>1.2059</v>
      </c>
    </row>
    <row r="85" spans="1:13" x14ac:dyDescent="0.25">
      <c r="A85" s="65"/>
      <c r="B85" s="735" t="s">
        <v>274</v>
      </c>
      <c r="C85" s="735"/>
      <c r="D85" s="787"/>
      <c r="E85" s="787"/>
      <c r="F85" s="787"/>
      <c r="G85" s="787"/>
      <c r="H85" s="787"/>
      <c r="I85" s="209"/>
      <c r="J85" s="209"/>
      <c r="K85" s="211">
        <f>I74*M84</f>
        <v>40405.502300317108</v>
      </c>
      <c r="L85" s="210"/>
    </row>
    <row r="86" spans="1:13" x14ac:dyDescent="0.25">
      <c r="A86" s="65"/>
      <c r="B86" s="137"/>
      <c r="C86" s="137"/>
      <c r="D86" s="151"/>
      <c r="E86" s="151"/>
      <c r="F86" s="151"/>
      <c r="G86" s="151"/>
      <c r="H86" s="151"/>
      <c r="I86" s="209"/>
      <c r="J86" s="209"/>
      <c r="K86" s="211"/>
      <c r="L86" s="210"/>
    </row>
    <row r="87" spans="1:13" s="207" customFormat="1" x14ac:dyDescent="0.25">
      <c r="A87" s="812" t="s">
        <v>282</v>
      </c>
      <c r="B87" s="738"/>
      <c r="C87" s="738"/>
      <c r="D87" s="738"/>
      <c r="E87" s="738"/>
      <c r="F87" s="738"/>
      <c r="G87" s="738"/>
      <c r="H87" s="738"/>
      <c r="I87" s="738"/>
      <c r="J87" s="738"/>
      <c r="K87" s="738"/>
      <c r="L87" s="813"/>
      <c r="M87" s="206"/>
    </row>
    <row r="88" spans="1:13" x14ac:dyDescent="0.25">
      <c r="A88" s="723" t="s">
        <v>112</v>
      </c>
      <c r="B88" s="726" t="s">
        <v>113</v>
      </c>
      <c r="C88" s="729" t="s">
        <v>99</v>
      </c>
      <c r="D88" s="730"/>
      <c r="E88" s="730"/>
      <c r="F88" s="730"/>
      <c r="G88" s="731"/>
      <c r="H88" s="729" t="s">
        <v>100</v>
      </c>
      <c r="I88" s="730"/>
      <c r="J88" s="730"/>
      <c r="K88" s="730"/>
      <c r="L88" s="731"/>
    </row>
    <row r="89" spans="1:13" x14ac:dyDescent="0.25">
      <c r="A89" s="724"/>
      <c r="B89" s="727"/>
      <c r="C89" s="732"/>
      <c r="D89" s="733"/>
      <c r="E89" s="733"/>
      <c r="F89" s="733"/>
      <c r="G89" s="734"/>
      <c r="H89" s="732" t="str">
        <f>H41</f>
        <v>Тепловые сети</v>
      </c>
      <c r="I89" s="733"/>
      <c r="J89" s="733"/>
      <c r="K89" s="733"/>
      <c r="L89" s="734"/>
    </row>
    <row r="90" spans="1:13" x14ac:dyDescent="0.25">
      <c r="A90" s="725"/>
      <c r="B90" s="728"/>
      <c r="C90" s="72" t="s">
        <v>114</v>
      </c>
      <c r="D90" s="109" t="s">
        <v>115</v>
      </c>
      <c r="E90" s="109" t="s">
        <v>116</v>
      </c>
      <c r="F90" s="109" t="s">
        <v>13</v>
      </c>
      <c r="G90" s="110" t="s">
        <v>117</v>
      </c>
      <c r="H90" s="72" t="s">
        <v>114</v>
      </c>
      <c r="I90" s="109" t="s">
        <v>115</v>
      </c>
      <c r="J90" s="109" t="s">
        <v>116</v>
      </c>
      <c r="K90" s="109" t="s">
        <v>13</v>
      </c>
      <c r="L90" s="110" t="s">
        <v>117</v>
      </c>
    </row>
    <row r="91" spans="1:13" x14ac:dyDescent="0.25">
      <c r="A91" s="75" t="s">
        <v>118</v>
      </c>
      <c r="B91" s="76">
        <v>2</v>
      </c>
      <c r="C91" s="77">
        <v>3</v>
      </c>
      <c r="D91" s="78">
        <v>4</v>
      </c>
      <c r="E91" s="78">
        <v>5</v>
      </c>
      <c r="F91" s="78">
        <v>6</v>
      </c>
      <c r="G91" s="76">
        <v>7</v>
      </c>
      <c r="H91" s="77">
        <v>8</v>
      </c>
      <c r="I91" s="78">
        <v>9</v>
      </c>
      <c r="J91" s="78">
        <v>10</v>
      </c>
      <c r="K91" s="78">
        <v>11</v>
      </c>
      <c r="L91" s="76">
        <v>12</v>
      </c>
    </row>
    <row r="92" spans="1:13" ht="45" customHeight="1" x14ac:dyDescent="0.25">
      <c r="A92" s="75" t="s">
        <v>118</v>
      </c>
      <c r="B92" s="223" t="s">
        <v>283</v>
      </c>
      <c r="C92" s="192">
        <f>7695084.41/1000</f>
        <v>7695.0844100000004</v>
      </c>
      <c r="D92" s="193">
        <v>0</v>
      </c>
      <c r="E92" s="193">
        <v>0</v>
      </c>
      <c r="F92" s="193">
        <v>0</v>
      </c>
      <c r="G92" s="92">
        <f t="shared" ref="G92" si="21">F92+E92+D92+C92</f>
        <v>7695.0844100000004</v>
      </c>
      <c r="H92" s="194">
        <f>C92/63*260</f>
        <v>31757.491215873019</v>
      </c>
      <c r="I92" s="193">
        <v>0</v>
      </c>
      <c r="J92" s="193">
        <v>0</v>
      </c>
      <c r="K92" s="193">
        <v>0</v>
      </c>
      <c r="L92" s="92">
        <f t="shared" ref="L92:L93" si="22">K92+J92+I92+H92</f>
        <v>31757.491215873019</v>
      </c>
      <c r="M92" s="195"/>
    </row>
    <row r="93" spans="1:13" ht="31.5" x14ac:dyDescent="0.25">
      <c r="A93" s="75" t="s">
        <v>172</v>
      </c>
      <c r="B93" s="223" t="s">
        <v>284</v>
      </c>
      <c r="C93" s="192">
        <v>0</v>
      </c>
      <c r="D93" s="193"/>
      <c r="E93" s="193"/>
      <c r="F93" s="193">
        <f>(16837.31+2999.3)/1000</f>
        <v>19.83661</v>
      </c>
      <c r="G93" s="92">
        <f t="shared" ref="G93" si="23">F93+E93+D93+C93</f>
        <v>19.83661</v>
      </c>
      <c r="H93" s="194">
        <v>0</v>
      </c>
      <c r="I93" s="193"/>
      <c r="J93" s="193"/>
      <c r="K93" s="193">
        <f>(16837.31+2999.3)/30*2645.14/1000</f>
        <v>1749.0203525133331</v>
      </c>
      <c r="L93" s="92">
        <f t="shared" si="22"/>
        <v>1749.0203525133331</v>
      </c>
      <c r="M93" s="195">
        <f>3.14*1.8*1.8*260</f>
        <v>2645.136</v>
      </c>
    </row>
    <row r="94" spans="1:13" x14ac:dyDescent="0.25">
      <c r="A94" s="90"/>
      <c r="B94" s="91" t="s">
        <v>122</v>
      </c>
      <c r="C94" s="92">
        <f t="shared" ref="C94:L94" si="24">C92+C93</f>
        <v>7695.0844100000004</v>
      </c>
      <c r="D94" s="92">
        <f t="shared" si="24"/>
        <v>0</v>
      </c>
      <c r="E94" s="92">
        <f t="shared" si="24"/>
        <v>0</v>
      </c>
      <c r="F94" s="92">
        <f t="shared" si="24"/>
        <v>19.83661</v>
      </c>
      <c r="G94" s="92">
        <f t="shared" si="24"/>
        <v>7714.9210200000007</v>
      </c>
      <c r="H94" s="92">
        <f t="shared" si="24"/>
        <v>31757.491215873019</v>
      </c>
      <c r="I94" s="92">
        <f t="shared" si="24"/>
        <v>0</v>
      </c>
      <c r="J94" s="92">
        <f t="shared" si="24"/>
        <v>0</v>
      </c>
      <c r="K94" s="92">
        <f t="shared" si="24"/>
        <v>1749.0203525133331</v>
      </c>
      <c r="L94" s="92">
        <f t="shared" si="24"/>
        <v>33506.511568386355</v>
      </c>
    </row>
    <row r="95" spans="1:13" x14ac:dyDescent="0.25">
      <c r="A95" s="204"/>
      <c r="B95" s="113"/>
      <c r="C95" s="205"/>
      <c r="D95" s="205"/>
      <c r="E95" s="205"/>
      <c r="F95" s="205"/>
      <c r="G95" s="205"/>
      <c r="H95" s="205"/>
      <c r="I95" s="205"/>
      <c r="J95" s="205"/>
      <c r="K95" s="205"/>
      <c r="L95" s="205"/>
    </row>
    <row r="96" spans="1:13" x14ac:dyDescent="0.25">
      <c r="A96" s="224" t="s">
        <v>288</v>
      </c>
      <c r="B96" s="225" t="s">
        <v>269</v>
      </c>
      <c r="C96" s="225"/>
      <c r="D96" s="789"/>
      <c r="E96" s="789"/>
      <c r="F96" s="789"/>
      <c r="G96" s="789"/>
      <c r="H96" s="789"/>
      <c r="I96" s="790"/>
      <c r="J96" s="790"/>
      <c r="K96" s="790"/>
      <c r="L96" s="791"/>
      <c r="M96" s="140" t="s">
        <v>239</v>
      </c>
    </row>
    <row r="97" spans="1:13" ht="33.75" customHeight="1" x14ac:dyDescent="0.25">
      <c r="A97" s="64">
        <v>2</v>
      </c>
      <c r="B97" s="741" t="s">
        <v>277</v>
      </c>
      <c r="C97" s="721"/>
      <c r="D97" s="792">
        <f>D99+D100+D101+D102</f>
        <v>6826.63</v>
      </c>
      <c r="E97" s="792"/>
      <c r="F97" s="792"/>
      <c r="G97" s="792"/>
      <c r="H97" s="792"/>
      <c r="I97" s="792">
        <f>I99+I100+I101+I102</f>
        <v>6826.63</v>
      </c>
      <c r="J97" s="792"/>
      <c r="K97" s="792"/>
      <c r="L97" s="793"/>
      <c r="M97" s="140" t="s">
        <v>240</v>
      </c>
    </row>
    <row r="98" spans="1:13" x14ac:dyDescent="0.25">
      <c r="A98" s="65"/>
      <c r="B98" s="735" t="s">
        <v>106</v>
      </c>
      <c r="C98" s="735"/>
      <c r="D98" s="150"/>
      <c r="E98" s="787"/>
      <c r="F98" s="787"/>
      <c r="G98" s="787"/>
      <c r="H98" s="787"/>
      <c r="I98" s="787"/>
      <c r="J98" s="152"/>
      <c r="K98" s="152"/>
      <c r="L98" s="153"/>
      <c r="M98" s="140" t="s">
        <v>241</v>
      </c>
    </row>
    <row r="99" spans="1:13" x14ac:dyDescent="0.25">
      <c r="A99" s="65"/>
      <c r="B99" s="735" t="s">
        <v>107</v>
      </c>
      <c r="C99" s="735"/>
      <c r="D99" s="787">
        <f>C120</f>
        <v>4637.62</v>
      </c>
      <c r="E99" s="787"/>
      <c r="F99" s="787"/>
      <c r="G99" s="787"/>
      <c r="H99" s="787"/>
      <c r="I99" s="787">
        <f>H120</f>
        <v>4637.62</v>
      </c>
      <c r="J99" s="787"/>
      <c r="K99" s="787"/>
      <c r="L99" s="788"/>
    </row>
    <row r="100" spans="1:13" x14ac:dyDescent="0.25">
      <c r="A100" s="65"/>
      <c r="B100" s="735" t="s">
        <v>108</v>
      </c>
      <c r="C100" s="735"/>
      <c r="D100" s="787">
        <f>D120</f>
        <v>649.61999999999989</v>
      </c>
      <c r="E100" s="787"/>
      <c r="F100" s="787"/>
      <c r="G100" s="787"/>
      <c r="H100" s="787"/>
      <c r="I100" s="787">
        <f>I120</f>
        <v>649.61999999999989</v>
      </c>
      <c r="J100" s="787"/>
      <c r="K100" s="787"/>
      <c r="L100" s="788"/>
    </row>
    <row r="101" spans="1:13" x14ac:dyDescent="0.25">
      <c r="A101" s="65"/>
      <c r="B101" s="735" t="s">
        <v>109</v>
      </c>
      <c r="C101" s="735"/>
      <c r="D101" s="787">
        <f>E120</f>
        <v>710.27</v>
      </c>
      <c r="E101" s="787"/>
      <c r="F101" s="787"/>
      <c r="G101" s="787"/>
      <c r="H101" s="787"/>
      <c r="I101" s="787">
        <f>J120</f>
        <v>710.27</v>
      </c>
      <c r="J101" s="787"/>
      <c r="K101" s="787"/>
      <c r="L101" s="788"/>
    </row>
    <row r="102" spans="1:13" x14ac:dyDescent="0.25">
      <c r="A102" s="65"/>
      <c r="B102" s="112" t="s">
        <v>110</v>
      </c>
      <c r="C102" s="112"/>
      <c r="D102" s="787">
        <f>F120</f>
        <v>829.12</v>
      </c>
      <c r="E102" s="787"/>
      <c r="F102" s="787">
        <f>F144</f>
        <v>0</v>
      </c>
      <c r="G102" s="787"/>
      <c r="H102" s="787"/>
      <c r="I102" s="787">
        <f>K120</f>
        <v>829.12</v>
      </c>
      <c r="J102" s="787"/>
      <c r="K102" s="787">
        <f>K144</f>
        <v>0</v>
      </c>
      <c r="L102" s="788"/>
    </row>
    <row r="103" spans="1:13" x14ac:dyDescent="0.25">
      <c r="A103" s="65"/>
      <c r="B103" s="112" t="s">
        <v>85</v>
      </c>
      <c r="C103" s="112"/>
      <c r="D103" s="111"/>
      <c r="E103" s="111"/>
      <c r="F103" s="111"/>
      <c r="G103" s="111"/>
      <c r="H103" s="111"/>
      <c r="I103" s="736">
        <f>(I99+I100)*0.015</f>
        <v>79.308599999999998</v>
      </c>
      <c r="J103" s="736"/>
      <c r="K103" s="736"/>
      <c r="L103" s="773"/>
      <c r="M103" s="49"/>
    </row>
    <row r="104" spans="1:13" x14ac:dyDescent="0.25">
      <c r="A104" s="65"/>
      <c r="B104" s="112" t="s">
        <v>39</v>
      </c>
      <c r="C104" s="112"/>
      <c r="D104" s="111"/>
      <c r="E104" s="111"/>
      <c r="F104" s="111"/>
      <c r="G104" s="111"/>
      <c r="H104" s="111"/>
      <c r="I104" s="736">
        <f>(I99+I100)*0.029</f>
        <v>153.32996</v>
      </c>
      <c r="J104" s="736"/>
      <c r="K104" s="736"/>
      <c r="L104" s="773"/>
      <c r="M104" s="49"/>
    </row>
    <row r="105" spans="1:13" x14ac:dyDescent="0.25">
      <c r="A105" s="65"/>
      <c r="B105" s="112" t="s">
        <v>40</v>
      </c>
      <c r="C105" s="112"/>
      <c r="D105" s="111"/>
      <c r="E105" s="111"/>
      <c r="F105" s="111"/>
      <c r="G105" s="111"/>
      <c r="H105" s="111"/>
      <c r="I105" s="736">
        <f>(I99+I100)*0.02</f>
        <v>105.7448</v>
      </c>
      <c r="J105" s="736"/>
      <c r="K105" s="736"/>
      <c r="L105" s="773"/>
      <c r="M105" s="49"/>
    </row>
    <row r="106" spans="1:13" x14ac:dyDescent="0.25">
      <c r="A106" s="65"/>
      <c r="B106" s="112" t="s">
        <v>163</v>
      </c>
      <c r="C106" s="112"/>
      <c r="D106" s="111"/>
      <c r="E106" s="111"/>
      <c r="F106" s="111"/>
      <c r="G106" s="111"/>
      <c r="H106" s="111"/>
      <c r="I106" s="736">
        <f>(I99+I102+I103+I104+I105+I100+I101)*0.02</f>
        <v>143.30026720000001</v>
      </c>
      <c r="J106" s="736"/>
      <c r="K106" s="736"/>
      <c r="L106" s="773"/>
      <c r="M106" s="49"/>
    </row>
    <row r="107" spans="1:13" s="578" customFormat="1" x14ac:dyDescent="0.25">
      <c r="A107" s="576"/>
      <c r="B107" s="571" t="s">
        <v>729</v>
      </c>
      <c r="C107" s="571"/>
      <c r="D107" s="562"/>
      <c r="E107" s="562"/>
      <c r="F107" s="562"/>
      <c r="G107" s="562"/>
      <c r="H107" s="562"/>
      <c r="I107" s="562"/>
      <c r="J107" s="562"/>
      <c r="K107" s="562"/>
      <c r="L107" s="577"/>
      <c r="M107" s="578">
        <f>[16]МГЭ!$I$7</f>
        <v>1.0085</v>
      </c>
    </row>
    <row r="108" spans="1:13" x14ac:dyDescent="0.25">
      <c r="A108" s="65"/>
      <c r="B108" s="735" t="s">
        <v>274</v>
      </c>
      <c r="C108" s="735"/>
      <c r="D108" s="787"/>
      <c r="E108" s="787"/>
      <c r="F108" s="787"/>
      <c r="G108" s="787"/>
      <c r="H108" s="787"/>
      <c r="I108" s="209"/>
      <c r="J108" s="209"/>
      <c r="K108" s="211">
        <f>I97*M107</f>
        <v>6884.6563550000001</v>
      </c>
      <c r="L108" s="210"/>
    </row>
    <row r="109" spans="1:13" x14ac:dyDescent="0.25">
      <c r="A109" s="65"/>
      <c r="B109" s="137"/>
      <c r="C109" s="137"/>
      <c r="D109" s="151"/>
      <c r="E109" s="151"/>
      <c r="F109" s="151"/>
      <c r="G109" s="151"/>
      <c r="H109" s="151"/>
      <c r="I109" s="209"/>
      <c r="J109" s="209"/>
      <c r="K109" s="211"/>
      <c r="L109" s="210"/>
    </row>
    <row r="110" spans="1:13" s="207" customFormat="1" x14ac:dyDescent="0.25">
      <c r="A110" s="812" t="s">
        <v>268</v>
      </c>
      <c r="B110" s="738"/>
      <c r="C110" s="738"/>
      <c r="D110" s="738"/>
      <c r="E110" s="738"/>
      <c r="F110" s="738"/>
      <c r="G110" s="738"/>
      <c r="H110" s="738"/>
      <c r="I110" s="738"/>
      <c r="J110" s="738"/>
      <c r="K110" s="738"/>
      <c r="L110" s="813"/>
      <c r="M110" s="206"/>
    </row>
    <row r="111" spans="1:13" ht="15.6" customHeight="1" x14ac:dyDescent="0.25">
      <c r="A111" s="810" t="s">
        <v>112</v>
      </c>
      <c r="B111" s="811" t="s">
        <v>113</v>
      </c>
      <c r="C111" s="811" t="s">
        <v>99</v>
      </c>
      <c r="D111" s="811"/>
      <c r="E111" s="811"/>
      <c r="F111" s="811"/>
      <c r="G111" s="811"/>
      <c r="H111" s="811" t="s">
        <v>100</v>
      </c>
      <c r="I111" s="811"/>
      <c r="J111" s="811"/>
      <c r="K111" s="811"/>
      <c r="L111" s="811"/>
    </row>
    <row r="112" spans="1:13" ht="15.6" customHeight="1" x14ac:dyDescent="0.25">
      <c r="A112" s="810"/>
      <c r="B112" s="811"/>
      <c r="C112" s="811"/>
      <c r="D112" s="811"/>
      <c r="E112" s="811"/>
      <c r="F112" s="811"/>
      <c r="G112" s="811"/>
      <c r="H112" s="811" t="str">
        <f>H89</f>
        <v>Тепловые сети</v>
      </c>
      <c r="I112" s="811"/>
      <c r="J112" s="811"/>
      <c r="K112" s="811"/>
      <c r="L112" s="811"/>
    </row>
    <row r="113" spans="1:13" ht="15.6" customHeight="1" x14ac:dyDescent="0.25">
      <c r="A113" s="810"/>
      <c r="B113" s="811"/>
      <c r="C113" s="196" t="s">
        <v>114</v>
      </c>
      <c r="D113" s="197" t="s">
        <v>115</v>
      </c>
      <c r="E113" s="197" t="s">
        <v>116</v>
      </c>
      <c r="F113" s="197" t="s">
        <v>13</v>
      </c>
      <c r="G113" s="197" t="s">
        <v>117</v>
      </c>
      <c r="H113" s="196" t="s">
        <v>114</v>
      </c>
      <c r="I113" s="197" t="s">
        <v>115</v>
      </c>
      <c r="J113" s="197" t="s">
        <v>116</v>
      </c>
      <c r="K113" s="197" t="s">
        <v>13</v>
      </c>
      <c r="L113" s="197" t="s">
        <v>117</v>
      </c>
    </row>
    <row r="114" spans="1:13" x14ac:dyDescent="0.25">
      <c r="A114" s="198" t="s">
        <v>118</v>
      </c>
      <c r="B114" s="196">
        <v>2</v>
      </c>
      <c r="C114" s="196">
        <v>3</v>
      </c>
      <c r="D114" s="196">
        <v>4</v>
      </c>
      <c r="E114" s="196">
        <v>5</v>
      </c>
      <c r="F114" s="196">
        <v>6</v>
      </c>
      <c r="G114" s="196">
        <v>7</v>
      </c>
      <c r="H114" s="196">
        <v>8</v>
      </c>
      <c r="I114" s="196">
        <v>9</v>
      </c>
      <c r="J114" s="196">
        <v>10</v>
      </c>
      <c r="K114" s="196">
        <v>11</v>
      </c>
      <c r="L114" s="196">
        <v>12</v>
      </c>
    </row>
    <row r="115" spans="1:13" x14ac:dyDescent="0.25">
      <c r="A115" s="75" t="s">
        <v>118</v>
      </c>
      <c r="B115" s="191" t="s">
        <v>269</v>
      </c>
      <c r="C115" s="192">
        <v>4519.47</v>
      </c>
      <c r="D115" s="193"/>
      <c r="E115" s="193"/>
      <c r="F115" s="193">
        <v>418.12</v>
      </c>
      <c r="G115" s="92">
        <f t="shared" ref="G115:G119" si="25">F115+E115+D115+C115</f>
        <v>4937.59</v>
      </c>
      <c r="H115" s="194">
        <v>4519.47</v>
      </c>
      <c r="I115" s="193"/>
      <c r="J115" s="193"/>
      <c r="K115" s="193">
        <v>418.12</v>
      </c>
      <c r="L115" s="92">
        <f t="shared" ref="L115:L119" si="26">K115+J115+I115+H115</f>
        <v>4937.59</v>
      </c>
      <c r="M115" s="195"/>
    </row>
    <row r="116" spans="1:13" x14ac:dyDescent="0.25">
      <c r="A116" s="75"/>
      <c r="B116" s="191" t="s">
        <v>270</v>
      </c>
      <c r="C116" s="192">
        <v>2.08</v>
      </c>
      <c r="D116" s="193">
        <v>330.57</v>
      </c>
      <c r="E116" s="193"/>
      <c r="F116" s="193">
        <v>90.62</v>
      </c>
      <c r="G116" s="92">
        <f t="shared" si="25"/>
        <v>423.27</v>
      </c>
      <c r="H116" s="194">
        <v>2.08</v>
      </c>
      <c r="I116" s="193">
        <v>330.57</v>
      </c>
      <c r="J116" s="193"/>
      <c r="K116" s="193">
        <v>90.62</v>
      </c>
      <c r="L116" s="92">
        <f t="shared" si="26"/>
        <v>423.27</v>
      </c>
      <c r="M116" s="195"/>
    </row>
    <row r="117" spans="1:13" x14ac:dyDescent="0.25">
      <c r="A117" s="75"/>
      <c r="B117" s="191" t="s">
        <v>271</v>
      </c>
      <c r="C117" s="192">
        <v>116.07</v>
      </c>
      <c r="D117" s="193">
        <v>139.37</v>
      </c>
      <c r="E117" s="193"/>
      <c r="F117" s="193">
        <v>196.38</v>
      </c>
      <c r="G117" s="92">
        <f t="shared" si="25"/>
        <v>451.82</v>
      </c>
      <c r="H117" s="194">
        <v>116.07</v>
      </c>
      <c r="I117" s="193">
        <v>139.37</v>
      </c>
      <c r="J117" s="193"/>
      <c r="K117" s="193">
        <v>196.38</v>
      </c>
      <c r="L117" s="92">
        <f t="shared" si="26"/>
        <v>451.82</v>
      </c>
      <c r="M117" s="195"/>
    </row>
    <row r="118" spans="1:13" x14ac:dyDescent="0.25">
      <c r="A118" s="75"/>
      <c r="B118" s="191" t="s">
        <v>272</v>
      </c>
      <c r="C118" s="192"/>
      <c r="D118" s="193">
        <v>109.13</v>
      </c>
      <c r="E118" s="193">
        <v>204.57</v>
      </c>
      <c r="F118" s="193"/>
      <c r="G118" s="92">
        <f t="shared" si="25"/>
        <v>313.7</v>
      </c>
      <c r="H118" s="194"/>
      <c r="I118" s="193">
        <v>109.13</v>
      </c>
      <c r="J118" s="193">
        <v>204.57</v>
      </c>
      <c r="K118" s="193"/>
      <c r="L118" s="92">
        <f t="shared" si="26"/>
        <v>313.7</v>
      </c>
      <c r="M118" s="195"/>
    </row>
    <row r="119" spans="1:13" x14ac:dyDescent="0.25">
      <c r="A119" s="75"/>
      <c r="B119" s="191" t="s">
        <v>273</v>
      </c>
      <c r="C119" s="192"/>
      <c r="D119" s="193">
        <v>70.55</v>
      </c>
      <c r="E119" s="193">
        <v>505.7</v>
      </c>
      <c r="F119" s="193">
        <v>124</v>
      </c>
      <c r="G119" s="92">
        <f t="shared" si="25"/>
        <v>700.25</v>
      </c>
      <c r="H119" s="194"/>
      <c r="I119" s="193">
        <v>70.55</v>
      </c>
      <c r="J119" s="193">
        <v>505.7</v>
      </c>
      <c r="K119" s="193">
        <v>124</v>
      </c>
      <c r="L119" s="92">
        <f t="shared" si="26"/>
        <v>700.25</v>
      </c>
      <c r="M119" s="195"/>
    </row>
    <row r="120" spans="1:13" x14ac:dyDescent="0.25">
      <c r="A120" s="201"/>
      <c r="B120" s="91" t="s">
        <v>122</v>
      </c>
      <c r="C120" s="200">
        <f t="shared" ref="C120:F120" si="27">SUM(C115:C119)</f>
        <v>4637.62</v>
      </c>
      <c r="D120" s="200">
        <f t="shared" si="27"/>
        <v>649.61999999999989</v>
      </c>
      <c r="E120" s="200">
        <f t="shared" si="27"/>
        <v>710.27</v>
      </c>
      <c r="F120" s="200">
        <f t="shared" si="27"/>
        <v>829.12</v>
      </c>
      <c r="G120" s="202">
        <f>SUM(G115:G119)</f>
        <v>6826.63</v>
      </c>
      <c r="H120" s="200">
        <f t="shared" ref="H120:L120" si="28">SUM(H115:H119)</f>
        <v>4637.62</v>
      </c>
      <c r="I120" s="200">
        <f t="shared" si="28"/>
        <v>649.61999999999989</v>
      </c>
      <c r="J120" s="200">
        <f t="shared" si="28"/>
        <v>710.27</v>
      </c>
      <c r="K120" s="200">
        <f t="shared" si="28"/>
        <v>829.12</v>
      </c>
      <c r="L120" s="200">
        <f t="shared" si="28"/>
        <v>6826.63</v>
      </c>
    </row>
    <row r="121" spans="1:13" x14ac:dyDescent="0.25">
      <c r="A121" s="201"/>
      <c r="B121" s="199"/>
      <c r="C121" s="199"/>
      <c r="D121" s="199"/>
      <c r="E121" s="199"/>
      <c r="F121" s="199"/>
      <c r="G121" s="199"/>
      <c r="H121" s="199"/>
      <c r="I121" s="199"/>
      <c r="J121" s="199"/>
      <c r="K121" s="199"/>
      <c r="L121" s="199"/>
    </row>
    <row r="123" spans="1:13" x14ac:dyDescent="0.25">
      <c r="A123" s="201"/>
      <c r="B123" s="91" t="s">
        <v>278</v>
      </c>
      <c r="C123" s="202" t="s">
        <v>289</v>
      </c>
      <c r="D123" s="202"/>
      <c r="E123" s="202"/>
      <c r="F123" s="202">
        <f>160+200+260</f>
        <v>620</v>
      </c>
      <c r="G123" s="202"/>
      <c r="H123" s="202"/>
      <c r="I123" s="202"/>
      <c r="J123" s="202"/>
      <c r="K123" s="202">
        <f>ROUND(L123/F123,2)</f>
        <v>519.27</v>
      </c>
      <c r="L123" s="202">
        <f>K108+K85+K36</f>
        <v>321949.842403655</v>
      </c>
    </row>
    <row r="124" spans="1:13" x14ac:dyDescent="0.25">
      <c r="A124" s="201"/>
      <c r="B124" s="128"/>
      <c r="C124" s="202"/>
      <c r="D124" s="202"/>
      <c r="E124" s="202"/>
      <c r="F124" s="202"/>
      <c r="G124" s="202"/>
      <c r="H124" s="202"/>
      <c r="I124" s="202"/>
      <c r="J124" s="202"/>
      <c r="K124" s="202"/>
      <c r="L124" s="202"/>
    </row>
  </sheetData>
  <mergeCells count="133">
    <mergeCell ref="B76:C76"/>
    <mergeCell ref="D76:H76"/>
    <mergeCell ref="I76:L76"/>
    <mergeCell ref="B77:C77"/>
    <mergeCell ref="D77:H77"/>
    <mergeCell ref="I77:L77"/>
    <mergeCell ref="B78:C78"/>
    <mergeCell ref="D78:H78"/>
    <mergeCell ref="I78:L78"/>
    <mergeCell ref="B10:C10"/>
    <mergeCell ref="B11:C11"/>
    <mergeCell ref="D11:H11"/>
    <mergeCell ref="I11:L11"/>
    <mergeCell ref="B12:C12"/>
    <mergeCell ref="D12:H12"/>
    <mergeCell ref="I12:L12"/>
    <mergeCell ref="A1:L1"/>
    <mergeCell ref="A3:L3"/>
    <mergeCell ref="A4:L4"/>
    <mergeCell ref="B6:L6"/>
    <mergeCell ref="B8:C9"/>
    <mergeCell ref="D8:H8"/>
    <mergeCell ref="I8:L8"/>
    <mergeCell ref="D9:H9"/>
    <mergeCell ref="I9:L9"/>
    <mergeCell ref="B7:L7"/>
    <mergeCell ref="D16:H16"/>
    <mergeCell ref="I16:L16"/>
    <mergeCell ref="D17:H17"/>
    <mergeCell ref="I17:L17"/>
    <mergeCell ref="D18:H18"/>
    <mergeCell ref="I18:L18"/>
    <mergeCell ref="D13:H13"/>
    <mergeCell ref="I13:L13"/>
    <mergeCell ref="D14:H14"/>
    <mergeCell ref="I14:L14"/>
    <mergeCell ref="D15:H15"/>
    <mergeCell ref="I15:L15"/>
    <mergeCell ref="D22:H22"/>
    <mergeCell ref="I22:L22"/>
    <mergeCell ref="D23:H23"/>
    <mergeCell ref="I23:L23"/>
    <mergeCell ref="D24:H24"/>
    <mergeCell ref="I24:L24"/>
    <mergeCell ref="D19:H19"/>
    <mergeCell ref="I19:L19"/>
    <mergeCell ref="D20:H20"/>
    <mergeCell ref="I20:L20"/>
    <mergeCell ref="D21:H21"/>
    <mergeCell ref="I21:L21"/>
    <mergeCell ref="I102:L102"/>
    <mergeCell ref="I28:L28"/>
    <mergeCell ref="B29:C29"/>
    <mergeCell ref="D29:H29"/>
    <mergeCell ref="I29:L29"/>
    <mergeCell ref="B25:C25"/>
    <mergeCell ref="D25:H25"/>
    <mergeCell ref="I25:L25"/>
    <mergeCell ref="B26:C26"/>
    <mergeCell ref="E26:I26"/>
    <mergeCell ref="B27:C27"/>
    <mergeCell ref="D27:H27"/>
    <mergeCell ref="I27:L27"/>
    <mergeCell ref="D79:H79"/>
    <mergeCell ref="I79:L79"/>
    <mergeCell ref="I80:L80"/>
    <mergeCell ref="I81:L81"/>
    <mergeCell ref="I82:L82"/>
    <mergeCell ref="I83:L83"/>
    <mergeCell ref="B85:C85"/>
    <mergeCell ref="D85:H85"/>
    <mergeCell ref="D73:H73"/>
    <mergeCell ref="I73:L73"/>
    <mergeCell ref="E75:I75"/>
    <mergeCell ref="B75:C75"/>
    <mergeCell ref="A111:A113"/>
    <mergeCell ref="B111:B113"/>
    <mergeCell ref="C111:G111"/>
    <mergeCell ref="H111:L111"/>
    <mergeCell ref="C112:G112"/>
    <mergeCell ref="H112:L112"/>
    <mergeCell ref="A87:L87"/>
    <mergeCell ref="A88:A90"/>
    <mergeCell ref="B88:B90"/>
    <mergeCell ref="C88:G88"/>
    <mergeCell ref="H88:L88"/>
    <mergeCell ref="C89:G89"/>
    <mergeCell ref="H89:L89"/>
    <mergeCell ref="A110:L110"/>
    <mergeCell ref="I104:L104"/>
    <mergeCell ref="I105:L105"/>
    <mergeCell ref="I106:L106"/>
    <mergeCell ref="B108:C108"/>
    <mergeCell ref="D108:H108"/>
    <mergeCell ref="B101:C101"/>
    <mergeCell ref="D101:H101"/>
    <mergeCell ref="I101:L101"/>
    <mergeCell ref="D102:H102"/>
    <mergeCell ref="B40:B42"/>
    <mergeCell ref="C40:G40"/>
    <mergeCell ref="H40:L40"/>
    <mergeCell ref="C41:G41"/>
    <mergeCell ref="H41:L41"/>
    <mergeCell ref="B36:C36"/>
    <mergeCell ref="D36:H36"/>
    <mergeCell ref="J37:K37"/>
    <mergeCell ref="B74:C74"/>
    <mergeCell ref="D74:H74"/>
    <mergeCell ref="I74:L74"/>
    <mergeCell ref="D30:H30"/>
    <mergeCell ref="I30:L30"/>
    <mergeCell ref="B28:C28"/>
    <mergeCell ref="D28:H28"/>
    <mergeCell ref="I103:L103"/>
    <mergeCell ref="B98:C98"/>
    <mergeCell ref="E98:I98"/>
    <mergeCell ref="B99:C99"/>
    <mergeCell ref="D99:H99"/>
    <mergeCell ref="I99:L99"/>
    <mergeCell ref="B100:C100"/>
    <mergeCell ref="D100:H100"/>
    <mergeCell ref="I100:L100"/>
    <mergeCell ref="I31:L31"/>
    <mergeCell ref="I32:L32"/>
    <mergeCell ref="I33:L33"/>
    <mergeCell ref="I34:L34"/>
    <mergeCell ref="D96:H96"/>
    <mergeCell ref="I96:L96"/>
    <mergeCell ref="B97:C97"/>
    <mergeCell ref="D97:H97"/>
    <mergeCell ref="I97:L97"/>
    <mergeCell ref="A39:L39"/>
    <mergeCell ref="A40:A42"/>
  </mergeCells>
  <pageMargins left="0.39370078740157483" right="0.39370078740157483" top="0.59055118110236227" bottom="0.39370078740157483" header="0" footer="0"/>
  <pageSetup paperSize="9" scale="53" fitToHeight="100" orientation="landscape" horizontalDpi="1200" verticalDpi="12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0.39997558519241921"/>
    <pageSetUpPr fitToPage="1"/>
  </sheetPr>
  <dimension ref="A1:M74"/>
  <sheetViews>
    <sheetView showGridLines="0" view="pageBreakPreview" zoomScale="70" zoomScaleNormal="100" zoomScaleSheetLayoutView="70" workbookViewId="0">
      <selection activeCell="I47" sqref="I47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46" t="s">
        <v>508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2" s="53" customFormat="1" ht="21" customHeight="1" x14ac:dyDescent="0.25">
      <c r="A4" s="748" t="s">
        <v>333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2" ht="33" customHeight="1" x14ac:dyDescent="0.25">
      <c r="A5" s="50" t="s">
        <v>20</v>
      </c>
      <c r="B5" s="750" t="s">
        <v>776</v>
      </c>
      <c r="C5" s="750"/>
      <c r="D5" s="750"/>
      <c r="E5" s="750"/>
      <c r="F5" s="750"/>
      <c r="G5" s="750"/>
      <c r="H5" s="750"/>
      <c r="I5" s="750"/>
      <c r="J5" s="750"/>
      <c r="K5" s="750"/>
      <c r="L5" s="750"/>
    </row>
    <row r="6" spans="1:12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2" x14ac:dyDescent="0.25">
      <c r="A7" s="55" t="s">
        <v>19</v>
      </c>
      <c r="B7" s="753"/>
      <c r="C7" s="754"/>
      <c r="D7" s="753"/>
      <c r="E7" s="756"/>
      <c r="F7" s="756"/>
      <c r="G7" s="756"/>
      <c r="H7" s="754"/>
      <c r="I7" s="753" t="s">
        <v>334</v>
      </c>
      <c r="J7" s="756"/>
      <c r="K7" s="756"/>
      <c r="L7" s="754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21" t="s">
        <v>334</v>
      </c>
      <c r="C9" s="721"/>
      <c r="D9" s="61"/>
      <c r="E9" s="61"/>
      <c r="F9" s="222">
        <v>740</v>
      </c>
      <c r="G9" s="222" t="s">
        <v>335</v>
      </c>
      <c r="H9" s="61"/>
      <c r="I9" s="774" t="s">
        <v>336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297</v>
      </c>
      <c r="C10" s="721"/>
      <c r="D10" s="742">
        <f>D12+D13+D14+F15</f>
        <v>1369.05736</v>
      </c>
      <c r="E10" s="742"/>
      <c r="F10" s="742"/>
      <c r="G10" s="742"/>
      <c r="H10" s="742"/>
      <c r="I10" s="742">
        <f>(I12+I13+I14+I15+I16+I17+I18+I19)</f>
        <v>1.9890989318399999</v>
      </c>
      <c r="J10" s="742"/>
      <c r="K10" s="742"/>
      <c r="L10" s="743"/>
    </row>
    <row r="11" spans="1:12" x14ac:dyDescent="0.25">
      <c r="A11" s="65"/>
      <c r="B11" s="735" t="s">
        <v>106</v>
      </c>
      <c r="C11" s="735"/>
      <c r="D11" s="219"/>
      <c r="E11" s="736"/>
      <c r="F11" s="736"/>
      <c r="G11" s="736"/>
      <c r="H11" s="736"/>
      <c r="I11" s="736"/>
      <c r="J11" s="68"/>
      <c r="K11" s="68"/>
      <c r="L11" s="69"/>
    </row>
    <row r="12" spans="1:12" x14ac:dyDescent="0.25">
      <c r="A12" s="65"/>
      <c r="B12" s="735" t="s">
        <v>107</v>
      </c>
      <c r="C12" s="735"/>
      <c r="D12" s="736">
        <f>C31</f>
        <v>324.20879999999994</v>
      </c>
      <c r="E12" s="736"/>
      <c r="F12" s="736"/>
      <c r="G12" s="736"/>
      <c r="H12" s="736"/>
      <c r="I12" s="736">
        <f>H31</f>
        <v>0.4381199999999999</v>
      </c>
      <c r="J12" s="736"/>
      <c r="K12" s="736"/>
      <c r="L12" s="773"/>
    </row>
    <row r="13" spans="1:12" x14ac:dyDescent="0.25">
      <c r="A13" s="65"/>
      <c r="B13" s="735" t="s">
        <v>108</v>
      </c>
      <c r="C13" s="735"/>
      <c r="D13" s="736">
        <f>D31</f>
        <v>832.26642000000004</v>
      </c>
      <c r="E13" s="736"/>
      <c r="F13" s="736"/>
      <c r="G13" s="736"/>
      <c r="H13" s="736"/>
      <c r="I13" s="736">
        <f>I30</f>
        <v>1.1246843513513514</v>
      </c>
      <c r="J13" s="736"/>
      <c r="K13" s="736"/>
      <c r="L13" s="773"/>
    </row>
    <row r="14" spans="1:12" x14ac:dyDescent="0.25">
      <c r="A14" s="65"/>
      <c r="B14" s="735" t="s">
        <v>109</v>
      </c>
      <c r="C14" s="735"/>
      <c r="D14" s="736">
        <f>E31</f>
        <v>0</v>
      </c>
      <c r="E14" s="736"/>
      <c r="F14" s="736"/>
      <c r="G14" s="736"/>
      <c r="H14" s="736"/>
      <c r="I14" s="736">
        <f>J30</f>
        <v>0</v>
      </c>
      <c r="J14" s="736"/>
      <c r="K14" s="736"/>
      <c r="L14" s="773"/>
    </row>
    <row r="15" spans="1:12" x14ac:dyDescent="0.25">
      <c r="A15" s="65"/>
      <c r="B15" s="221" t="s">
        <v>110</v>
      </c>
      <c r="C15" s="221"/>
      <c r="D15" s="736">
        <f>F31</f>
        <v>212.58214000000001</v>
      </c>
      <c r="E15" s="736"/>
      <c r="F15" s="736">
        <f>F31</f>
        <v>212.58214000000001</v>
      </c>
      <c r="G15" s="736"/>
      <c r="H15" s="736"/>
      <c r="I15" s="736">
        <f>K31</f>
        <v>0.2872731621621622</v>
      </c>
      <c r="J15" s="736"/>
      <c r="K15" s="736"/>
      <c r="L15" s="773"/>
    </row>
    <row r="16" spans="1:12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36">
        <f>(I12+I13)*0.015</f>
        <v>2.3442065270270266E-2</v>
      </c>
      <c r="J16" s="736"/>
      <c r="K16" s="736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36">
        <f>(I12+I13)*0.029</f>
        <v>4.5321326189189187E-2</v>
      </c>
      <c r="J17" s="736"/>
      <c r="K17" s="736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36">
        <f>(I12+I13)*0.02</f>
        <v>3.1256087027027021E-2</v>
      </c>
      <c r="J18" s="736"/>
      <c r="K18" s="736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36">
        <f>(I12+I15+I16+I17+I18+I14+I13)*0.02</f>
        <v>3.9001939839999993E-2</v>
      </c>
      <c r="J19" s="736"/>
      <c r="K19" s="736"/>
      <c r="L19" s="773"/>
    </row>
    <row r="20" spans="1:13" s="578" customFormat="1" x14ac:dyDescent="0.25">
      <c r="A20" s="576"/>
      <c r="B20" s="571" t="s">
        <v>722</v>
      </c>
      <c r="C20" s="571"/>
      <c r="D20" s="562"/>
      <c r="E20" s="562"/>
      <c r="F20" s="562"/>
      <c r="G20" s="562"/>
      <c r="H20" s="562"/>
      <c r="I20" s="562"/>
      <c r="J20" s="579">
        <f>I10*M20</f>
        <v>2.2830877539659515</v>
      </c>
      <c r="K20" s="579"/>
      <c r="L20" s="577"/>
      <c r="M20" s="578">
        <f>[16]МГЭ!$I$3</f>
        <v>1.1477999999999999</v>
      </c>
    </row>
    <row r="21" spans="1:13" s="103" customFormat="1" x14ac:dyDescent="0.25">
      <c r="A21" s="107"/>
      <c r="B21" s="106"/>
      <c r="C21" s="106"/>
      <c r="D21" s="105"/>
      <c r="E21" s="105"/>
      <c r="F21" s="105"/>
      <c r="G21" s="105"/>
      <c r="H21" s="105"/>
      <c r="I21" s="105"/>
      <c r="J21" s="228"/>
      <c r="K21" s="228"/>
      <c r="L21" s="104"/>
    </row>
    <row r="22" spans="1:13" s="103" customFormat="1" x14ac:dyDescent="0.25">
      <c r="A22" s="107"/>
      <c r="B22" s="106" t="s">
        <v>338</v>
      </c>
      <c r="C22" s="106"/>
      <c r="D22" s="105"/>
      <c r="E22" s="105"/>
      <c r="F22" s="105"/>
      <c r="G22" s="105"/>
      <c r="H22" s="105"/>
      <c r="I22" s="105"/>
      <c r="J22" s="228">
        <f>J20*1500+L38</f>
        <v>5509.0463757098087</v>
      </c>
      <c r="K22" s="228">
        <f>ROUND(J22/1500,2)</f>
        <v>3.67</v>
      </c>
      <c r="L22" s="104"/>
    </row>
    <row r="23" spans="1:13" x14ac:dyDescent="0.25">
      <c r="A23" s="65"/>
      <c r="B23" s="208" t="s">
        <v>341</v>
      </c>
      <c r="C23" s="208"/>
      <c r="D23" s="208"/>
      <c r="E23" s="208"/>
      <c r="F23" s="208"/>
      <c r="G23" s="208"/>
      <c r="H23" s="208"/>
      <c r="I23" s="101"/>
      <c r="J23" s="101">
        <f>J20*1600</f>
        <v>3652.9404063455227</v>
      </c>
      <c r="K23" s="228">
        <f>ROUND(J23/1600,2)</f>
        <v>2.2799999999999998</v>
      </c>
      <c r="L23" s="102"/>
    </row>
    <row r="24" spans="1:13" x14ac:dyDescent="0.25">
      <c r="A24" s="65"/>
      <c r="B24" s="221"/>
      <c r="C24" s="221"/>
      <c r="D24" s="219"/>
      <c r="E24" s="219"/>
      <c r="F24" s="219"/>
      <c r="G24" s="219"/>
      <c r="H24" s="219"/>
      <c r="I24" s="219"/>
      <c r="J24" s="219"/>
      <c r="K24" s="219"/>
      <c r="L24" s="220"/>
    </row>
    <row r="25" spans="1:13" x14ac:dyDescent="0.25">
      <c r="A25" s="720" t="s">
        <v>295</v>
      </c>
      <c r="B25" s="721"/>
      <c r="C25" s="721"/>
      <c r="D25" s="721"/>
      <c r="E25" s="721"/>
      <c r="F25" s="721"/>
      <c r="G25" s="721"/>
      <c r="H25" s="721"/>
      <c r="I25" s="721"/>
      <c r="J25" s="721"/>
      <c r="K25" s="721"/>
      <c r="L25" s="722"/>
    </row>
    <row r="26" spans="1:13" ht="13.5" customHeight="1" x14ac:dyDescent="0.25">
      <c r="A26" s="723" t="s">
        <v>112</v>
      </c>
      <c r="B26" s="726" t="s">
        <v>113</v>
      </c>
      <c r="C26" s="729" t="s">
        <v>99</v>
      </c>
      <c r="D26" s="730"/>
      <c r="E26" s="730"/>
      <c r="F26" s="730"/>
      <c r="G26" s="731"/>
      <c r="H26" s="729" t="s">
        <v>100</v>
      </c>
      <c r="I26" s="730"/>
      <c r="J26" s="730"/>
      <c r="K26" s="730"/>
      <c r="L26" s="731"/>
    </row>
    <row r="27" spans="1:13" x14ac:dyDescent="0.25">
      <c r="A27" s="724"/>
      <c r="B27" s="727"/>
      <c r="C27" s="732"/>
      <c r="D27" s="733"/>
      <c r="E27" s="733"/>
      <c r="F27" s="733"/>
      <c r="G27" s="734"/>
      <c r="H27" s="732" t="s">
        <v>334</v>
      </c>
      <c r="I27" s="733"/>
      <c r="J27" s="733"/>
      <c r="K27" s="733"/>
      <c r="L27" s="734"/>
    </row>
    <row r="28" spans="1:13" x14ac:dyDescent="0.25">
      <c r="A28" s="725"/>
      <c r="B28" s="728"/>
      <c r="C28" s="72" t="s">
        <v>114</v>
      </c>
      <c r="D28" s="217" t="s">
        <v>115</v>
      </c>
      <c r="E28" s="217" t="s">
        <v>116</v>
      </c>
      <c r="F28" s="217" t="s">
        <v>13</v>
      </c>
      <c r="G28" s="218" t="s">
        <v>117</v>
      </c>
      <c r="H28" s="72" t="s">
        <v>114</v>
      </c>
      <c r="I28" s="217" t="s">
        <v>115</v>
      </c>
      <c r="J28" s="217" t="s">
        <v>116</v>
      </c>
      <c r="K28" s="217" t="s">
        <v>13</v>
      </c>
      <c r="L28" s="218" t="s">
        <v>117</v>
      </c>
    </row>
    <row r="29" spans="1:13" x14ac:dyDescent="0.25">
      <c r="A29" s="75" t="s">
        <v>118</v>
      </c>
      <c r="B29" s="76">
        <v>2</v>
      </c>
      <c r="C29" s="77">
        <v>3</v>
      </c>
      <c r="D29" s="78">
        <v>4</v>
      </c>
      <c r="E29" s="78">
        <v>5</v>
      </c>
      <c r="F29" s="78">
        <v>6</v>
      </c>
      <c r="G29" s="76">
        <v>7</v>
      </c>
      <c r="H29" s="77">
        <v>8</v>
      </c>
      <c r="I29" s="78">
        <v>9</v>
      </c>
      <c r="J29" s="78">
        <v>10</v>
      </c>
      <c r="K29" s="78">
        <v>11</v>
      </c>
      <c r="L29" s="76">
        <v>12</v>
      </c>
    </row>
    <row r="30" spans="1:13" s="84" customFormat="1" x14ac:dyDescent="0.25">
      <c r="A30" s="79">
        <v>1</v>
      </c>
      <c r="B30" s="80" t="s">
        <v>337</v>
      </c>
      <c r="C30" s="81">
        <f>334407.66/1000-10198.86/1000</f>
        <v>324.20879999999994</v>
      </c>
      <c r="D30" s="82">
        <f>832266.42/1000</f>
        <v>832.26642000000004</v>
      </c>
      <c r="E30" s="82"/>
      <c r="F30" s="82">
        <f>212582.14/1000</f>
        <v>212.58214000000001</v>
      </c>
      <c r="G30" s="83">
        <f>F30+E30+D30+C30</f>
        <v>1369.05736</v>
      </c>
      <c r="H30" s="81">
        <f>C30/740</f>
        <v>0.4381199999999999</v>
      </c>
      <c r="I30" s="82">
        <f>D30/740</f>
        <v>1.1246843513513514</v>
      </c>
      <c r="J30" s="82">
        <f t="shared" ref="J30" si="0">E30/8*4</f>
        <v>0</v>
      </c>
      <c r="K30" s="82">
        <f>F30/740</f>
        <v>0.2872731621621622</v>
      </c>
      <c r="L30" s="83">
        <f>K30+J30+I30+H30</f>
        <v>1.8500775135135135</v>
      </c>
    </row>
    <row r="31" spans="1:13" s="53" customFormat="1" ht="21.75" customHeight="1" x14ac:dyDescent="0.25">
      <c r="A31" s="90"/>
      <c r="B31" s="91" t="s">
        <v>122</v>
      </c>
      <c r="C31" s="92">
        <f>C30</f>
        <v>324.20879999999994</v>
      </c>
      <c r="D31" s="93">
        <f t="shared" ref="D31:L31" si="1">D30</f>
        <v>832.26642000000004</v>
      </c>
      <c r="E31" s="93">
        <f t="shared" si="1"/>
        <v>0</v>
      </c>
      <c r="F31" s="93">
        <f t="shared" si="1"/>
        <v>212.58214000000001</v>
      </c>
      <c r="G31" s="94">
        <f t="shared" si="1"/>
        <v>1369.05736</v>
      </c>
      <c r="H31" s="92">
        <f t="shared" si="1"/>
        <v>0.4381199999999999</v>
      </c>
      <c r="I31" s="93">
        <f t="shared" si="1"/>
        <v>1.1246843513513514</v>
      </c>
      <c r="J31" s="93">
        <f t="shared" si="1"/>
        <v>0</v>
      </c>
      <c r="K31" s="93">
        <f t="shared" si="1"/>
        <v>0.2872731621621622</v>
      </c>
      <c r="L31" s="94">
        <f t="shared" si="1"/>
        <v>1.8500775135135135</v>
      </c>
    </row>
    <row r="32" spans="1:13" x14ac:dyDescent="0.25">
      <c r="A32" s="720" t="s">
        <v>295</v>
      </c>
      <c r="B32" s="721"/>
      <c r="C32" s="721"/>
      <c r="D32" s="721"/>
      <c r="E32" s="721"/>
      <c r="F32" s="721"/>
      <c r="G32" s="721"/>
      <c r="H32" s="721"/>
      <c r="I32" s="721"/>
      <c r="J32" s="721"/>
      <c r="K32" s="721"/>
      <c r="L32" s="722"/>
    </row>
    <row r="33" spans="1:12" ht="13.5" customHeight="1" x14ac:dyDescent="0.25">
      <c r="A33" s="723" t="s">
        <v>112</v>
      </c>
      <c r="B33" s="726" t="s">
        <v>113</v>
      </c>
      <c r="C33" s="729" t="s">
        <v>99</v>
      </c>
      <c r="D33" s="730"/>
      <c r="E33" s="730"/>
      <c r="F33" s="730"/>
      <c r="G33" s="731"/>
      <c r="H33" s="729" t="s">
        <v>100</v>
      </c>
      <c r="I33" s="730"/>
      <c r="J33" s="730"/>
      <c r="K33" s="730"/>
      <c r="L33" s="731"/>
    </row>
    <row r="34" spans="1:12" x14ac:dyDescent="0.25">
      <c r="A34" s="724"/>
      <c r="B34" s="727"/>
      <c r="C34" s="732"/>
      <c r="D34" s="733"/>
      <c r="E34" s="733"/>
      <c r="F34" s="733"/>
      <c r="G34" s="734"/>
      <c r="H34" s="732" t="s">
        <v>340</v>
      </c>
      <c r="I34" s="733"/>
      <c r="J34" s="733"/>
      <c r="K34" s="733"/>
      <c r="L34" s="734"/>
    </row>
    <row r="35" spans="1:12" x14ac:dyDescent="0.25">
      <c r="A35" s="725"/>
      <c r="B35" s="728"/>
      <c r="C35" s="72" t="s">
        <v>114</v>
      </c>
      <c r="D35" s="217" t="s">
        <v>115</v>
      </c>
      <c r="E35" s="217" t="s">
        <v>116</v>
      </c>
      <c r="F35" s="217" t="s">
        <v>13</v>
      </c>
      <c r="G35" s="218" t="s">
        <v>117</v>
      </c>
      <c r="H35" s="72" t="s">
        <v>114</v>
      </c>
      <c r="I35" s="217" t="s">
        <v>115</v>
      </c>
      <c r="J35" s="217" t="s">
        <v>116</v>
      </c>
      <c r="K35" s="217" t="s">
        <v>13</v>
      </c>
      <c r="L35" s="218" t="s">
        <v>117</v>
      </c>
    </row>
    <row r="36" spans="1:12" x14ac:dyDescent="0.25">
      <c r="A36" s="75" t="s">
        <v>118</v>
      </c>
      <c r="B36" s="76">
        <v>2</v>
      </c>
      <c r="C36" s="77">
        <v>3</v>
      </c>
      <c r="D36" s="78">
        <v>4</v>
      </c>
      <c r="E36" s="78">
        <v>5</v>
      </c>
      <c r="F36" s="78">
        <v>6</v>
      </c>
      <c r="G36" s="76">
        <v>7</v>
      </c>
      <c r="H36" s="77">
        <v>8</v>
      </c>
      <c r="I36" s="78">
        <v>9</v>
      </c>
      <c r="J36" s="78">
        <v>10</v>
      </c>
      <c r="K36" s="78">
        <v>11</v>
      </c>
      <c r="L36" s="76">
        <v>12</v>
      </c>
    </row>
    <row r="37" spans="1:12" s="84" customFormat="1" x14ac:dyDescent="0.25">
      <c r="A37" s="79">
        <v>1</v>
      </c>
      <c r="B37" s="80" t="s">
        <v>339</v>
      </c>
      <c r="C37" s="81">
        <f>7758191.68/1000</f>
        <v>7758.1916799999999</v>
      </c>
      <c r="D37" s="82">
        <v>0</v>
      </c>
      <c r="E37" s="82"/>
      <c r="F37" s="82">
        <v>0</v>
      </c>
      <c r="G37" s="83">
        <f>F37+E37+D37+C37</f>
        <v>7758.1916799999999</v>
      </c>
      <c r="H37" s="81">
        <f>C37/372.2*100</f>
        <v>2084.4147447608811</v>
      </c>
      <c r="I37" s="82">
        <f>D37/740</f>
        <v>0</v>
      </c>
      <c r="J37" s="82">
        <f t="shared" ref="J37" si="2">E37/8*4</f>
        <v>0</v>
      </c>
      <c r="K37" s="82">
        <f>F37/740</f>
        <v>0</v>
      </c>
      <c r="L37" s="83">
        <f>K37+J37+I37+H37</f>
        <v>2084.4147447608811</v>
      </c>
    </row>
    <row r="38" spans="1:12" s="53" customFormat="1" ht="21.75" customHeight="1" x14ac:dyDescent="0.25">
      <c r="A38" s="90"/>
      <c r="B38" s="91" t="s">
        <v>122</v>
      </c>
      <c r="C38" s="92">
        <f>C37</f>
        <v>7758.1916799999999</v>
      </c>
      <c r="D38" s="93">
        <f t="shared" ref="D38:L38" si="3">D37</f>
        <v>0</v>
      </c>
      <c r="E38" s="93">
        <f t="shared" si="3"/>
        <v>0</v>
      </c>
      <c r="F38" s="93">
        <f t="shared" si="3"/>
        <v>0</v>
      </c>
      <c r="G38" s="94">
        <f t="shared" si="3"/>
        <v>7758.1916799999999</v>
      </c>
      <c r="H38" s="92">
        <f t="shared" si="3"/>
        <v>2084.4147447608811</v>
      </c>
      <c r="I38" s="93">
        <f t="shared" si="3"/>
        <v>0</v>
      </c>
      <c r="J38" s="93">
        <f t="shared" si="3"/>
        <v>0</v>
      </c>
      <c r="K38" s="93">
        <f t="shared" si="3"/>
        <v>0</v>
      </c>
      <c r="L38" s="94">
        <f t="shared" si="3"/>
        <v>2084.4147447608811</v>
      </c>
    </row>
    <row r="39" spans="1:12" x14ac:dyDescent="0.25">
      <c r="A39" s="95"/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8"/>
    </row>
    <row r="42" spans="1:12" x14ac:dyDescent="0.25">
      <c r="D42" s="100"/>
    </row>
    <row r="43" spans="1:12" x14ac:dyDescent="0.25">
      <c r="D43" s="100"/>
    </row>
    <row r="44" spans="1:12" x14ac:dyDescent="0.25">
      <c r="D44" s="100"/>
    </row>
    <row r="45" spans="1:12" x14ac:dyDescent="0.25">
      <c r="D45" s="100"/>
    </row>
    <row r="46" spans="1:12" x14ac:dyDescent="0.25">
      <c r="D46" s="100"/>
    </row>
    <row r="47" spans="1:12" x14ac:dyDescent="0.25">
      <c r="D47" s="100"/>
    </row>
    <row r="48" spans="1:12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/>
    </row>
    <row r="66" spans="4:5" x14ac:dyDescent="0.25">
      <c r="D66" s="100"/>
    </row>
    <row r="67" spans="4:5" x14ac:dyDescent="0.25">
      <c r="D67" s="100"/>
    </row>
    <row r="68" spans="4:5" x14ac:dyDescent="0.25">
      <c r="D68" s="100"/>
    </row>
    <row r="69" spans="4:5" x14ac:dyDescent="0.25">
      <c r="D69" s="100"/>
    </row>
    <row r="70" spans="4:5" x14ac:dyDescent="0.25">
      <c r="D70" s="100"/>
    </row>
    <row r="71" spans="4:5" x14ac:dyDescent="0.25">
      <c r="D71" s="100"/>
    </row>
    <row r="72" spans="4:5" x14ac:dyDescent="0.25">
      <c r="D72" s="100"/>
    </row>
    <row r="73" spans="4:5" x14ac:dyDescent="0.25">
      <c r="D73" s="100"/>
    </row>
    <row r="74" spans="4:5" x14ac:dyDescent="0.25">
      <c r="D74" s="100">
        <f>SUM(D42:D69)</f>
        <v>0</v>
      </c>
      <c r="E74" s="49">
        <f>SUM(E54:E73)</f>
        <v>0</v>
      </c>
    </row>
  </sheetData>
  <mergeCells count="46">
    <mergeCell ref="A1:L1"/>
    <mergeCell ref="A3:L3"/>
    <mergeCell ref="A4:L4"/>
    <mergeCell ref="B5:L5"/>
    <mergeCell ref="B6:C7"/>
    <mergeCell ref="D6:H6"/>
    <mergeCell ref="I6:L6"/>
    <mergeCell ref="D7:H7"/>
    <mergeCell ref="I7:L7"/>
    <mergeCell ref="B8:C8"/>
    <mergeCell ref="B9:C9"/>
    <mergeCell ref="I9:L9"/>
    <mergeCell ref="B10:C10"/>
    <mergeCell ref="D10:H10"/>
    <mergeCell ref="I10:L10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I17:L17"/>
    <mergeCell ref="I18:L18"/>
    <mergeCell ref="I19:L19"/>
    <mergeCell ref="A25:L25"/>
    <mergeCell ref="A26:A28"/>
    <mergeCell ref="B26:B28"/>
    <mergeCell ref="C26:G26"/>
    <mergeCell ref="H26:L26"/>
    <mergeCell ref="C27:G27"/>
    <mergeCell ref="H27:L27"/>
    <mergeCell ref="A32:L32"/>
    <mergeCell ref="A33:A35"/>
    <mergeCell ref="B33:B35"/>
    <mergeCell ref="C33:G33"/>
    <mergeCell ref="H33:L33"/>
    <mergeCell ref="C34:G34"/>
    <mergeCell ref="H34:L34"/>
  </mergeCells>
  <pageMargins left="0.39370078740157483" right="0.39370078740157483" top="0.59055118110236227" bottom="0.39370078740157483" header="0" footer="0"/>
  <pageSetup paperSize="9" scale="77" fitToHeight="100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L97"/>
  <sheetViews>
    <sheetView view="pageBreakPreview" topLeftCell="A15" zoomScale="110" zoomScaleNormal="90" zoomScaleSheetLayoutView="110" workbookViewId="0">
      <selection activeCell="C17" sqref="C17:I17"/>
    </sheetView>
  </sheetViews>
  <sheetFormatPr defaultColWidth="9.140625" defaultRowHeight="15.75" x14ac:dyDescent="0.25"/>
  <cols>
    <col min="1" max="1" width="4" style="10" customWidth="1"/>
    <col min="2" max="2" width="10.5703125" style="10" customWidth="1"/>
    <col min="3" max="3" width="11.140625" style="10" customWidth="1"/>
    <col min="4" max="4" width="10.85546875" style="10" customWidth="1"/>
    <col min="5" max="5" width="4" style="10" customWidth="1"/>
    <col min="6" max="6" width="11.42578125" style="10" customWidth="1"/>
    <col min="7" max="7" width="9.140625" style="10" customWidth="1"/>
    <col min="8" max="8" width="8.42578125" style="10" customWidth="1"/>
    <col min="9" max="9" width="22.85546875" style="10" customWidth="1"/>
    <col min="10" max="10" width="7.5703125" style="10" customWidth="1"/>
    <col min="11" max="16384" width="9.140625" style="10"/>
  </cols>
  <sheetData>
    <row r="1" spans="1:12" s="52" customFormat="1" ht="90" customHeight="1" x14ac:dyDescent="0.25">
      <c r="A1" s="784"/>
      <c r="B1" s="784"/>
      <c r="C1" s="784"/>
      <c r="D1" s="784"/>
      <c r="E1" s="784"/>
      <c r="F1" s="784"/>
      <c r="G1" s="784"/>
      <c r="H1" s="784"/>
      <c r="I1" s="784"/>
      <c r="J1" s="391"/>
      <c r="K1" s="226"/>
      <c r="L1" s="226"/>
    </row>
    <row r="2" spans="1:12" s="49" customFormat="1" x14ac:dyDescent="0.25">
      <c r="A2" s="50"/>
      <c r="B2" s="354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46" t="s">
        <v>509</v>
      </c>
      <c r="B3" s="747"/>
      <c r="C3" s="747"/>
      <c r="D3" s="747"/>
      <c r="E3" s="747"/>
      <c r="F3" s="747"/>
      <c r="G3" s="747"/>
      <c r="H3" s="747"/>
      <c r="I3" s="747"/>
      <c r="J3" s="52"/>
      <c r="K3" s="227"/>
      <c r="L3" s="227"/>
    </row>
    <row r="5" spans="1:12" ht="18.75" x14ac:dyDescent="0.3">
      <c r="B5" s="780" t="s">
        <v>489</v>
      </c>
      <c r="C5" s="780"/>
      <c r="D5" s="780"/>
      <c r="E5" s="780"/>
      <c r="F5" s="780"/>
      <c r="G5" s="780"/>
      <c r="H5" s="780"/>
      <c r="I5" s="780"/>
      <c r="J5" s="780"/>
    </row>
    <row r="6" spans="1:12" x14ac:dyDescent="0.25">
      <c r="B6" s="781" t="s">
        <v>48</v>
      </c>
      <c r="C6" s="781"/>
      <c r="D6" s="781"/>
      <c r="E6" s="781"/>
      <c r="F6" s="781"/>
      <c r="G6" s="781"/>
      <c r="H6" s="781"/>
      <c r="I6" s="781"/>
      <c r="J6" s="781"/>
    </row>
    <row r="8" spans="1:12" ht="108" customHeight="1" x14ac:dyDescent="0.25">
      <c r="B8" s="785" t="s">
        <v>49</v>
      </c>
      <c r="C8" s="785"/>
      <c r="D8" s="785"/>
      <c r="E8" s="785"/>
      <c r="F8" s="785"/>
      <c r="G8" s="785"/>
      <c r="H8" s="785"/>
      <c r="I8" s="785"/>
      <c r="J8" s="20"/>
    </row>
    <row r="10" spans="1:12" hidden="1" x14ac:dyDescent="0.25">
      <c r="A10" s="778" t="s">
        <v>50</v>
      </c>
      <c r="B10" s="778"/>
      <c r="C10" s="778"/>
      <c r="D10" s="778"/>
      <c r="E10" s="778"/>
      <c r="F10" s="778"/>
      <c r="G10" s="778"/>
      <c r="H10" s="778"/>
      <c r="I10" s="778"/>
      <c r="J10" s="778"/>
    </row>
    <row r="11" spans="1:12" hidden="1" x14ac:dyDescent="0.25">
      <c r="B11" s="11"/>
    </row>
    <row r="12" spans="1:12" s="14" customFormat="1" ht="19.5" hidden="1" customHeight="1" x14ac:dyDescent="0.25">
      <c r="A12" s="12" t="s">
        <v>20</v>
      </c>
      <c r="B12" s="14" t="s">
        <v>490</v>
      </c>
    </row>
    <row r="13" spans="1:12" s="14" customFormat="1" ht="39.75" hidden="1" customHeight="1" x14ac:dyDescent="0.25">
      <c r="A13" s="12" t="s">
        <v>21</v>
      </c>
      <c r="B13" s="785" t="s">
        <v>491</v>
      </c>
      <c r="C13" s="785"/>
      <c r="D13" s="785"/>
      <c r="E13" s="785"/>
      <c r="F13" s="785"/>
      <c r="G13" s="785"/>
      <c r="H13" s="785"/>
      <c r="I13" s="785"/>
      <c r="J13" s="20"/>
    </row>
    <row r="14" spans="1:12" s="14" customFormat="1" ht="46.5" hidden="1" customHeight="1" x14ac:dyDescent="0.25">
      <c r="A14" s="12" t="s">
        <v>21</v>
      </c>
      <c r="B14" s="785" t="s">
        <v>492</v>
      </c>
      <c r="C14" s="785"/>
      <c r="D14" s="785"/>
      <c r="E14" s="785"/>
      <c r="F14" s="785"/>
      <c r="G14" s="785"/>
      <c r="H14" s="785"/>
      <c r="I14" s="785"/>
      <c r="J14" s="20"/>
    </row>
    <row r="16" spans="1:12" ht="36.75" customHeight="1" x14ac:dyDescent="0.25">
      <c r="A16" s="782" t="s">
        <v>52</v>
      </c>
      <c r="B16" s="782"/>
      <c r="C16" s="782"/>
      <c r="D16" s="782"/>
      <c r="E16" s="782"/>
      <c r="F16" s="782"/>
      <c r="G16" s="782"/>
      <c r="H16" s="782"/>
      <c r="I16" s="782"/>
      <c r="J16" s="19"/>
    </row>
    <row r="17" spans="1:10" s="14" customFormat="1" ht="36.75" customHeight="1" x14ac:dyDescent="0.25">
      <c r="B17" s="20" t="s">
        <v>53</v>
      </c>
      <c r="C17" s="779" t="s">
        <v>823</v>
      </c>
      <c r="D17" s="779"/>
      <c r="E17" s="779"/>
      <c r="F17" s="779"/>
      <c r="G17" s="779"/>
      <c r="H17" s="779"/>
      <c r="I17" s="779"/>
      <c r="J17" s="20"/>
    </row>
    <row r="18" spans="1:10" s="14" customFormat="1" ht="18" customHeight="1" x14ac:dyDescent="0.25">
      <c r="B18" s="20"/>
      <c r="C18" s="785"/>
      <c r="D18" s="785"/>
      <c r="E18" s="785"/>
      <c r="F18" s="785"/>
      <c r="G18" s="785"/>
      <c r="H18" s="785"/>
      <c r="I18" s="785"/>
      <c r="J18" s="785"/>
    </row>
    <row r="19" spans="1:10" s="14" customFormat="1" ht="27" customHeight="1" x14ac:dyDescent="0.25">
      <c r="B19" s="785" t="s">
        <v>385</v>
      </c>
      <c r="C19" s="785"/>
      <c r="D19" s="785"/>
      <c r="E19" s="785"/>
      <c r="F19" s="785"/>
      <c r="G19" s="21" t="s">
        <v>816</v>
      </c>
      <c r="H19" s="21"/>
      <c r="I19" s="21"/>
      <c r="J19" s="21"/>
    </row>
    <row r="20" spans="1:10" s="14" customFormat="1" ht="18" customHeight="1" x14ac:dyDescent="0.25">
      <c r="B20" s="20" t="s">
        <v>493</v>
      </c>
      <c r="C20" s="785" t="s">
        <v>494</v>
      </c>
      <c r="D20" s="785"/>
      <c r="E20" s="785"/>
      <c r="F20" s="785"/>
      <c r="G20" s="785"/>
      <c r="H20" s="785"/>
      <c r="I20" s="785"/>
      <c r="J20" s="785"/>
    </row>
    <row r="21" spans="1:10" s="14" customFormat="1" ht="18" customHeight="1" x14ac:dyDescent="0.25">
      <c r="B21" s="14" t="s">
        <v>824</v>
      </c>
      <c r="C21" s="358" t="s">
        <v>495</v>
      </c>
    </row>
    <row r="22" spans="1:10" s="14" customFormat="1" ht="18" customHeight="1" x14ac:dyDescent="0.25">
      <c r="C22" s="358"/>
      <c r="D22" s="358"/>
      <c r="E22" s="358"/>
      <c r="F22" s="358"/>
      <c r="G22" s="358"/>
      <c r="H22" s="358"/>
      <c r="I22" s="358"/>
      <c r="J22" s="358"/>
    </row>
    <row r="24" spans="1:10" x14ac:dyDescent="0.25">
      <c r="A24" s="778" t="s">
        <v>58</v>
      </c>
      <c r="B24" s="778"/>
      <c r="C24" s="778"/>
      <c r="D24" s="778"/>
      <c r="E24" s="778"/>
      <c r="F24" s="778"/>
      <c r="G24" s="778"/>
      <c r="H24" s="778"/>
      <c r="I24" s="778"/>
      <c r="J24" s="778"/>
    </row>
    <row r="26" spans="1:10" s="23" customFormat="1" ht="12.75" x14ac:dyDescent="0.2">
      <c r="A26" s="22" t="s">
        <v>20</v>
      </c>
      <c r="B26" s="23" t="s">
        <v>59</v>
      </c>
      <c r="E26" s="24"/>
      <c r="F26" s="24"/>
      <c r="G26" s="24">
        <v>4.1000000000000002E-2</v>
      </c>
      <c r="H26" s="23" t="s">
        <v>60</v>
      </c>
    </row>
    <row r="27" spans="1:10" s="23" customFormat="1" ht="12.75" x14ac:dyDescent="0.2">
      <c r="A27" s="22" t="s">
        <v>21</v>
      </c>
      <c r="B27" s="23" t="s">
        <v>61</v>
      </c>
      <c r="F27" s="24"/>
      <c r="G27" s="24">
        <v>2.7E-2</v>
      </c>
      <c r="H27" s="23" t="s">
        <v>62</v>
      </c>
    </row>
    <row r="28" spans="1:10" s="23" customFormat="1" ht="12.75" x14ac:dyDescent="0.2">
      <c r="A28" s="22"/>
      <c r="F28" s="25"/>
      <c r="G28" s="25"/>
    </row>
    <row r="29" spans="1:10" s="23" customFormat="1" ht="12.75" x14ac:dyDescent="0.2">
      <c r="A29" s="22"/>
      <c r="G29" s="25"/>
    </row>
    <row r="30" spans="1:10" s="23" customFormat="1" ht="12.75" x14ac:dyDescent="0.2">
      <c r="A30" s="22" t="s">
        <v>63</v>
      </c>
      <c r="B30" s="23" t="s">
        <v>496</v>
      </c>
      <c r="G30" s="581">
        <v>1.1477999999999999</v>
      </c>
      <c r="H30" s="23" t="s">
        <v>71</v>
      </c>
    </row>
    <row r="32" spans="1:10" x14ac:dyDescent="0.25">
      <c r="B32" s="27" t="s">
        <v>72</v>
      </c>
    </row>
    <row r="33" spans="1:9" ht="13.5" customHeight="1" x14ac:dyDescent="0.25"/>
    <row r="34" spans="1:9" s="252" customFormat="1" ht="20.25" customHeight="1" x14ac:dyDescent="0.25">
      <c r="A34" s="252" t="s">
        <v>20</v>
      </c>
      <c r="B34" s="252" t="s">
        <v>391</v>
      </c>
      <c r="D34" s="252">
        <v>1</v>
      </c>
      <c r="E34" s="252" t="s">
        <v>103</v>
      </c>
    </row>
    <row r="35" spans="1:9" s="30" customFormat="1" ht="12.75" x14ac:dyDescent="0.2">
      <c r="A35" s="28"/>
      <c r="B35" s="28" t="s">
        <v>73</v>
      </c>
      <c r="C35" s="28"/>
      <c r="D35" s="28"/>
      <c r="E35" s="28"/>
      <c r="F35" s="28" t="s">
        <v>392</v>
      </c>
      <c r="G35" s="28" t="s">
        <v>393</v>
      </c>
      <c r="H35" s="28" t="s">
        <v>394</v>
      </c>
      <c r="I35" s="28" t="s">
        <v>395</v>
      </c>
    </row>
    <row r="36" spans="1:9" s="23" customFormat="1" ht="12.75" x14ac:dyDescent="0.2">
      <c r="A36" s="31" t="s">
        <v>813</v>
      </c>
      <c r="B36" s="31"/>
      <c r="C36" s="31"/>
      <c r="D36" s="31"/>
      <c r="E36" s="31" t="s">
        <v>497</v>
      </c>
      <c r="F36" s="671">
        <v>13881</v>
      </c>
      <c r="G36" s="31" t="s">
        <v>103</v>
      </c>
      <c r="H36" s="31">
        <f>152+152</f>
        <v>304</v>
      </c>
      <c r="I36" s="31">
        <v>745.46299999999997</v>
      </c>
    </row>
    <row r="37" spans="1:9" s="23" customFormat="1" ht="12.75" x14ac:dyDescent="0.2">
      <c r="A37" s="31"/>
      <c r="B37" s="31"/>
      <c r="C37" s="31"/>
      <c r="D37" s="31"/>
      <c r="E37" s="31"/>
      <c r="F37" s="31"/>
      <c r="G37" s="31"/>
      <c r="H37" s="31"/>
      <c r="I37" s="31"/>
    </row>
    <row r="38" spans="1:9" s="256" customFormat="1" ht="12.75" x14ac:dyDescent="0.2">
      <c r="A38" s="257"/>
      <c r="B38" s="257"/>
      <c r="C38" s="257"/>
      <c r="D38" s="257"/>
      <c r="E38" s="257"/>
      <c r="F38" s="259"/>
      <c r="G38" s="259"/>
      <c r="H38" s="259"/>
      <c r="I38" s="260"/>
    </row>
    <row r="39" spans="1:9" s="23" customFormat="1" ht="12.75" x14ac:dyDescent="0.2">
      <c r="A39" s="31"/>
      <c r="B39" s="31"/>
      <c r="C39" s="31"/>
      <c r="D39" s="31"/>
      <c r="E39" s="31"/>
      <c r="F39" s="254"/>
      <c r="G39" s="254"/>
      <c r="H39" s="254"/>
      <c r="I39" s="255"/>
    </row>
    <row r="40" spans="1:9" s="23" customFormat="1" ht="12.75" x14ac:dyDescent="0.2">
      <c r="A40" s="31"/>
      <c r="B40" s="31"/>
      <c r="C40" s="31"/>
      <c r="D40" s="31"/>
      <c r="E40" s="31"/>
      <c r="F40" s="254"/>
      <c r="G40" s="254"/>
      <c r="H40" s="254"/>
      <c r="I40" s="255"/>
    </row>
    <row r="41" spans="1:9" s="23" customFormat="1" ht="12.75" x14ac:dyDescent="0.2">
      <c r="A41" s="31"/>
      <c r="B41" s="31"/>
      <c r="C41" s="31"/>
      <c r="D41" s="31"/>
      <c r="E41" s="31"/>
      <c r="F41" s="254"/>
      <c r="G41" s="254"/>
      <c r="H41" s="254"/>
      <c r="I41" s="255"/>
    </row>
    <row r="42" spans="1:9" s="23" customFormat="1" ht="12.75" x14ac:dyDescent="0.2">
      <c r="A42" s="31"/>
      <c r="B42" s="31"/>
      <c r="C42" s="31"/>
      <c r="D42" s="31"/>
      <c r="E42" s="31"/>
      <c r="F42" s="254"/>
      <c r="G42" s="254"/>
      <c r="H42" s="254"/>
      <c r="I42" s="255"/>
    </row>
    <row r="43" spans="1:9" s="23" customFormat="1" ht="12.75" x14ac:dyDescent="0.2">
      <c r="A43" s="31"/>
      <c r="B43" s="31"/>
      <c r="C43" s="31"/>
      <c r="D43" s="31"/>
      <c r="E43" s="31"/>
      <c r="F43" s="254"/>
      <c r="G43" s="254"/>
      <c r="H43" s="254"/>
      <c r="I43" s="255"/>
    </row>
    <row r="44" spans="1:9" s="23" customFormat="1" ht="12.75" x14ac:dyDescent="0.2">
      <c r="A44" s="31"/>
      <c r="B44" s="31"/>
      <c r="C44" s="31"/>
      <c r="D44" s="31"/>
      <c r="E44" s="31"/>
      <c r="F44" s="254"/>
      <c r="G44" s="254"/>
      <c r="H44" s="254"/>
      <c r="I44" s="255"/>
    </row>
    <row r="45" spans="1:9" s="23" customFormat="1" ht="12.75" x14ac:dyDescent="0.2">
      <c r="A45" s="31"/>
      <c r="B45" s="31"/>
      <c r="C45" s="31"/>
      <c r="D45" s="31"/>
      <c r="E45" s="31"/>
      <c r="F45" s="254"/>
      <c r="G45" s="254"/>
      <c r="H45" s="254"/>
      <c r="I45" s="255"/>
    </row>
    <row r="46" spans="1:9" s="23" customFormat="1" ht="12.75" x14ac:dyDescent="0.2">
      <c r="A46" s="31"/>
      <c r="B46" s="31"/>
      <c r="C46" s="31"/>
      <c r="D46" s="31"/>
      <c r="E46" s="31"/>
      <c r="F46" s="254"/>
      <c r="G46" s="254"/>
      <c r="H46" s="254"/>
      <c r="I46" s="255"/>
    </row>
    <row r="47" spans="1:9" s="23" customFormat="1" ht="12.75" x14ac:dyDescent="0.2">
      <c r="A47" s="31"/>
      <c r="B47" s="31"/>
      <c r="C47" s="31"/>
      <c r="D47" s="31"/>
      <c r="E47" s="31"/>
      <c r="F47" s="254"/>
      <c r="G47" s="254"/>
      <c r="H47" s="254"/>
      <c r="I47" s="255"/>
    </row>
    <row r="48" spans="1:9" s="23" customFormat="1" ht="12.75" x14ac:dyDescent="0.2">
      <c r="A48" s="31"/>
      <c r="B48" s="31"/>
      <c r="C48" s="31"/>
      <c r="D48" s="31"/>
      <c r="E48" s="31"/>
      <c r="F48" s="254"/>
      <c r="G48" s="254"/>
      <c r="H48" s="254"/>
      <c r="I48" s="255"/>
    </row>
    <row r="49" spans="1:12" s="23" customFormat="1" ht="12.75" x14ac:dyDescent="0.2">
      <c r="A49" s="31"/>
      <c r="B49" s="31"/>
      <c r="C49" s="31"/>
      <c r="D49" s="31"/>
      <c r="E49" s="31"/>
      <c r="F49" s="254"/>
      <c r="G49" s="254"/>
      <c r="H49" s="254"/>
      <c r="I49" s="255"/>
    </row>
    <row r="50" spans="1:12" s="23" customFormat="1" ht="12.75" x14ac:dyDescent="0.2">
      <c r="A50" s="31"/>
      <c r="B50" s="31"/>
      <c r="C50" s="31"/>
      <c r="D50" s="31"/>
      <c r="E50" s="31"/>
      <c r="F50" s="254"/>
      <c r="G50" s="254"/>
      <c r="H50" s="254"/>
      <c r="I50" s="255"/>
    </row>
    <row r="51" spans="1:12" s="23" customFormat="1" ht="12.75" x14ac:dyDescent="0.2">
      <c r="A51" s="31"/>
      <c r="B51" s="31"/>
      <c r="C51" s="31"/>
      <c r="D51" s="31"/>
      <c r="E51" s="31"/>
      <c r="F51" s="254"/>
      <c r="G51" s="254"/>
      <c r="H51" s="254"/>
      <c r="I51" s="255"/>
    </row>
    <row r="52" spans="1:12" s="23" customFormat="1" ht="13.5" customHeight="1" x14ac:dyDescent="0.2">
      <c r="A52" s="31"/>
      <c r="B52" s="31"/>
      <c r="C52" s="31"/>
      <c r="D52" s="31"/>
      <c r="E52" s="31"/>
      <c r="F52" s="254"/>
      <c r="G52" s="254"/>
      <c r="H52" s="254"/>
      <c r="I52" s="255"/>
    </row>
    <row r="53" spans="1:12" s="23" customFormat="1" ht="12" customHeight="1" x14ac:dyDescent="0.2">
      <c r="A53" s="31"/>
      <c r="B53" s="31"/>
      <c r="C53" s="31"/>
      <c r="D53" s="31"/>
      <c r="E53" s="31"/>
      <c r="F53" s="254"/>
      <c r="G53" s="254"/>
      <c r="H53" s="254"/>
      <c r="I53" s="255"/>
    </row>
    <row r="54" spans="1:12" s="12" customFormat="1" ht="24" customHeight="1" x14ac:dyDescent="0.25">
      <c r="A54" s="346"/>
      <c r="B54" s="346"/>
      <c r="C54" s="346"/>
      <c r="D54" s="346"/>
      <c r="I54" s="36"/>
    </row>
    <row r="55" spans="1:12" s="30" customFormat="1" ht="12.75" x14ac:dyDescent="0.2">
      <c r="B55" s="30" t="s">
        <v>430</v>
      </c>
      <c r="L55" s="23"/>
    </row>
    <row r="56" spans="1:12" s="262" customFormat="1" ht="25.5" customHeight="1" x14ac:dyDescent="0.2">
      <c r="A56" s="261" t="s">
        <v>20</v>
      </c>
      <c r="B56" s="824" t="s">
        <v>498</v>
      </c>
      <c r="C56" s="824"/>
      <c r="D56" s="824"/>
      <c r="E56" s="824"/>
      <c r="F56" s="824"/>
      <c r="G56" s="824"/>
      <c r="H56" s="824"/>
      <c r="I56" s="824"/>
    </row>
    <row r="57" spans="1:12" s="14" customFormat="1" ht="15" customHeight="1" x14ac:dyDescent="0.25">
      <c r="C57" s="14" t="s">
        <v>814</v>
      </c>
      <c r="D57" s="12" t="s">
        <v>433</v>
      </c>
    </row>
    <row r="58" spans="1:12" s="14" customFormat="1" ht="15" customHeight="1" x14ac:dyDescent="0.25">
      <c r="B58" s="14" t="s">
        <v>29</v>
      </c>
      <c r="C58" s="263">
        <f>I36+I40+I43+I44+I45+I46+I47+I48</f>
        <v>745.46299999999997</v>
      </c>
      <c r="D58" s="14">
        <f>ROUND(C58/304,2)</f>
        <v>2.4500000000000002</v>
      </c>
    </row>
    <row r="59" spans="1:12" s="14" customFormat="1" ht="15" customHeight="1" x14ac:dyDescent="0.25">
      <c r="B59" s="14" t="s">
        <v>13</v>
      </c>
      <c r="C59" s="263">
        <f>I39+I40</f>
        <v>0</v>
      </c>
      <c r="D59" s="14">
        <f>ROUND(C59/13815,2)</f>
        <v>0</v>
      </c>
    </row>
    <row r="60" spans="1:12" s="264" customFormat="1" ht="15" hidden="1" customHeight="1" x14ac:dyDescent="0.25">
      <c r="A60" s="261" t="s">
        <v>21</v>
      </c>
      <c r="B60" s="824"/>
      <c r="C60" s="824"/>
      <c r="D60" s="824"/>
      <c r="E60" s="824"/>
      <c r="F60" s="824"/>
      <c r="G60" s="824"/>
      <c r="H60" s="824"/>
      <c r="I60" s="824"/>
    </row>
    <row r="61" spans="1:12" s="14" customFormat="1" ht="15" hidden="1" customHeight="1" x14ac:dyDescent="0.25">
      <c r="D61" s="12"/>
    </row>
    <row r="62" spans="1:12" s="14" customFormat="1" ht="15" hidden="1" customHeight="1" x14ac:dyDescent="0.25">
      <c r="C62" s="263"/>
    </row>
    <row r="63" spans="1:12" s="262" customFormat="1" ht="15" hidden="1" customHeight="1" x14ac:dyDescent="0.2">
      <c r="A63" s="261" t="s">
        <v>66</v>
      </c>
      <c r="B63" s="824"/>
      <c r="C63" s="824"/>
      <c r="D63" s="824"/>
      <c r="E63" s="824"/>
      <c r="F63" s="824"/>
      <c r="G63" s="824"/>
      <c r="H63" s="824"/>
      <c r="I63" s="824"/>
    </row>
    <row r="64" spans="1:12" s="14" customFormat="1" ht="15" hidden="1" customHeight="1" x14ac:dyDescent="0.25">
      <c r="D64" s="12"/>
    </row>
    <row r="65" spans="1:10" s="14" customFormat="1" ht="15" hidden="1" customHeight="1" x14ac:dyDescent="0.25">
      <c r="C65" s="263"/>
    </row>
    <row r="66" spans="1:10" s="14" customFormat="1" ht="15" hidden="1" customHeight="1" x14ac:dyDescent="0.25">
      <c r="C66" s="263"/>
    </row>
    <row r="67" spans="1:10" hidden="1" x14ac:dyDescent="0.25"/>
    <row r="68" spans="1:10" x14ac:dyDescent="0.25">
      <c r="A68" s="778" t="s">
        <v>79</v>
      </c>
      <c r="B68" s="778"/>
      <c r="C68" s="778"/>
      <c r="D68" s="778"/>
      <c r="E68" s="778"/>
      <c r="F68" s="778"/>
      <c r="G68" s="778"/>
      <c r="H68" s="778"/>
      <c r="I68" s="778"/>
      <c r="J68" s="778"/>
    </row>
    <row r="70" spans="1:10" s="37" customFormat="1" hidden="1" x14ac:dyDescent="0.25">
      <c r="A70" s="37" t="s">
        <v>20</v>
      </c>
      <c r="B70" s="37" t="s">
        <v>499</v>
      </c>
      <c r="F70" s="37">
        <f>F76</f>
        <v>0</v>
      </c>
    </row>
    <row r="71" spans="1:10" s="23" customFormat="1" ht="12.75" hidden="1" x14ac:dyDescent="0.2">
      <c r="B71" s="23" t="s">
        <v>82</v>
      </c>
      <c r="F71" s="23">
        <f>D65+D66</f>
        <v>0</v>
      </c>
    </row>
    <row r="72" spans="1:10" s="23" customFormat="1" ht="12.75" hidden="1" x14ac:dyDescent="0.2">
      <c r="B72" s="23" t="s">
        <v>83</v>
      </c>
      <c r="F72" s="23">
        <f>ROUND(D65*0.029,2)</f>
        <v>0</v>
      </c>
    </row>
    <row r="73" spans="1:10" s="23" customFormat="1" ht="12.75" hidden="1" x14ac:dyDescent="0.2">
      <c r="B73" s="23" t="s">
        <v>84</v>
      </c>
      <c r="F73" s="23">
        <f>ROUND(D65*0.02,2)</f>
        <v>0</v>
      </c>
    </row>
    <row r="74" spans="1:10" s="23" customFormat="1" ht="12.75" hidden="1" x14ac:dyDescent="0.2">
      <c r="B74" s="23" t="s">
        <v>85</v>
      </c>
      <c r="F74" s="23">
        <f>ROUND(D65*0.015,2)</f>
        <v>0</v>
      </c>
    </row>
    <row r="75" spans="1:10" s="23" customFormat="1" ht="12.75" hidden="1" x14ac:dyDescent="0.2">
      <c r="B75" s="23" t="s">
        <v>86</v>
      </c>
      <c r="F75" s="23">
        <f>ROUND((F71+F72+F74)*0.02,2)</f>
        <v>0</v>
      </c>
    </row>
    <row r="76" spans="1:10" s="575" customFormat="1" ht="12.75" hidden="1" x14ac:dyDescent="0.2">
      <c r="B76" s="575" t="s">
        <v>724</v>
      </c>
      <c r="F76" s="575">
        <f>ROUND((F71+F72+F73+F74+F75)*I76,2)</f>
        <v>0</v>
      </c>
      <c r="I76" s="575">
        <f>[16]МГЭ!$I$3</f>
        <v>1.1477999999999999</v>
      </c>
    </row>
    <row r="77" spans="1:10" s="23" customFormat="1" ht="12.75" x14ac:dyDescent="0.2"/>
    <row r="78" spans="1:10" s="37" customFormat="1" x14ac:dyDescent="0.25">
      <c r="A78" s="37">
        <v>1</v>
      </c>
      <c r="B78" s="37" t="s">
        <v>510</v>
      </c>
      <c r="F78" s="37">
        <f>F85</f>
        <v>2.92</v>
      </c>
    </row>
    <row r="79" spans="1:10" s="23" customFormat="1" ht="12.75" x14ac:dyDescent="0.2">
      <c r="B79" s="23" t="s">
        <v>82</v>
      </c>
      <c r="F79" s="23">
        <f>D58+D59+D62</f>
        <v>2.4500000000000002</v>
      </c>
    </row>
    <row r="80" spans="1:10" s="23" customFormat="1" ht="12.75" x14ac:dyDescent="0.2"/>
    <row r="81" spans="1:9" s="23" customFormat="1" ht="12.75" x14ac:dyDescent="0.2"/>
    <row r="82" spans="1:9" s="23" customFormat="1" ht="12.75" x14ac:dyDescent="0.2">
      <c r="B82" s="23" t="s">
        <v>785</v>
      </c>
      <c r="F82" s="23">
        <f>ROUND((D58+D62)*0.041,2)</f>
        <v>0.1</v>
      </c>
    </row>
    <row r="83" spans="1:9" s="23" customFormat="1" ht="12.75" x14ac:dyDescent="0.2">
      <c r="B83" s="23" t="s">
        <v>798</v>
      </c>
      <c r="F83" s="23">
        <f>ROUND((D58+D63)*0.027,2)</f>
        <v>7.0000000000000007E-2</v>
      </c>
    </row>
    <row r="84" spans="1:9" s="23" customFormat="1" ht="12.75" x14ac:dyDescent="0.2"/>
    <row r="85" spans="1:9" s="575" customFormat="1" ht="12.75" x14ac:dyDescent="0.2">
      <c r="B85" s="575" t="s">
        <v>799</v>
      </c>
      <c r="F85" s="575">
        <f>ROUND((F79+F80+F81+F82+F83)*I85,2)</f>
        <v>2.92</v>
      </c>
      <c r="I85" s="575">
        <f>1.1152</f>
        <v>1.1152</v>
      </c>
    </row>
    <row r="88" spans="1:9" ht="16.5" thickBot="1" x14ac:dyDescent="0.3"/>
    <row r="89" spans="1:9" s="37" customFormat="1" x14ac:dyDescent="0.25">
      <c r="A89" s="265"/>
      <c r="B89" s="266" t="s">
        <v>500</v>
      </c>
      <c r="C89" s="266"/>
      <c r="D89" s="266"/>
      <c r="E89" s="266"/>
      <c r="F89" s="266"/>
      <c r="G89" s="266"/>
      <c r="H89" s="266"/>
      <c r="I89" s="267"/>
    </row>
    <row r="90" spans="1:9" x14ac:dyDescent="0.25">
      <c r="A90" s="268"/>
      <c r="B90" s="269"/>
      <c r="C90" s="269"/>
      <c r="D90" s="269"/>
      <c r="E90" s="269"/>
      <c r="F90" s="269"/>
      <c r="G90" s="269"/>
      <c r="H90" s="269"/>
      <c r="I90" s="270"/>
    </row>
    <row r="91" spans="1:9" x14ac:dyDescent="0.25">
      <c r="A91" s="268"/>
      <c r="B91" s="269"/>
      <c r="C91" s="269"/>
      <c r="D91" s="269"/>
      <c r="E91" s="269"/>
      <c r="F91" s="269" t="s">
        <v>394</v>
      </c>
      <c r="G91" s="269" t="s">
        <v>440</v>
      </c>
      <c r="H91" s="269"/>
      <c r="I91" s="270" t="s">
        <v>441</v>
      </c>
    </row>
    <row r="92" spans="1:9" x14ac:dyDescent="0.25">
      <c r="A92" s="268"/>
      <c r="B92" s="271"/>
      <c r="C92" s="269"/>
      <c r="D92" s="269"/>
      <c r="E92" s="269"/>
      <c r="F92" s="269"/>
      <c r="G92" s="269"/>
      <c r="H92" s="269"/>
      <c r="I92" s="270"/>
    </row>
    <row r="93" spans="1:9" x14ac:dyDescent="0.25">
      <c r="A93" s="268"/>
      <c r="B93" s="269"/>
      <c r="C93" s="269"/>
      <c r="D93" s="269"/>
      <c r="E93" s="269"/>
      <c r="F93" s="272"/>
      <c r="G93" s="272"/>
      <c r="H93" s="269"/>
      <c r="I93" s="359">
        <f>ROUND(F93*G93,2)</f>
        <v>0</v>
      </c>
    </row>
    <row r="94" spans="1:9" x14ac:dyDescent="0.25">
      <c r="A94" s="268"/>
      <c r="B94" s="269" t="s">
        <v>511</v>
      </c>
      <c r="C94" s="269"/>
      <c r="D94" s="269"/>
      <c r="E94" s="269"/>
      <c r="F94" s="272">
        <f>520</f>
        <v>520</v>
      </c>
      <c r="G94" s="272">
        <f>F78</f>
        <v>2.92</v>
      </c>
      <c r="H94" s="269"/>
      <c r="I94" s="359">
        <f t="shared" ref="I94" si="0">ROUND(F94*G94,2)</f>
        <v>1518.4</v>
      </c>
    </row>
    <row r="95" spans="1:9" s="37" customFormat="1" x14ac:dyDescent="0.25">
      <c r="A95" s="280"/>
      <c r="B95" s="281" t="s">
        <v>815</v>
      </c>
      <c r="C95" s="281"/>
      <c r="D95" s="281"/>
      <c r="E95" s="281"/>
      <c r="F95" s="282">
        <f>F94</f>
        <v>520</v>
      </c>
      <c r="G95" s="282">
        <f>ROUND(I95/F95,2)</f>
        <v>2.92</v>
      </c>
      <c r="H95" s="281"/>
      <c r="I95" s="283">
        <f>I93+I94</f>
        <v>1518.4</v>
      </c>
    </row>
    <row r="96" spans="1:9" x14ac:dyDescent="0.25">
      <c r="A96" s="268"/>
      <c r="B96" s="269"/>
      <c r="C96" s="269"/>
      <c r="D96" s="269"/>
      <c r="E96" s="269"/>
      <c r="F96" s="272"/>
      <c r="G96" s="272"/>
      <c r="H96" s="269"/>
      <c r="I96" s="359"/>
    </row>
    <row r="97" spans="1:9" ht="16.5" thickBot="1" x14ac:dyDescent="0.3">
      <c r="A97" s="273"/>
      <c r="B97" s="274"/>
      <c r="C97" s="274"/>
      <c r="D97" s="274"/>
      <c r="E97" s="274"/>
      <c r="F97" s="274"/>
      <c r="G97" s="274"/>
      <c r="H97" s="274"/>
      <c r="I97" s="275"/>
    </row>
  </sheetData>
  <mergeCells count="18">
    <mergeCell ref="B63:I63"/>
    <mergeCell ref="A68:J68"/>
    <mergeCell ref="A16:I16"/>
    <mergeCell ref="C17:I17"/>
    <mergeCell ref="C18:J18"/>
    <mergeCell ref="C20:J20"/>
    <mergeCell ref="A24:J24"/>
    <mergeCell ref="A1:I1"/>
    <mergeCell ref="A3:I3"/>
    <mergeCell ref="B19:F19"/>
    <mergeCell ref="B56:I56"/>
    <mergeCell ref="B60:I60"/>
    <mergeCell ref="B5:J5"/>
    <mergeCell ref="B6:J6"/>
    <mergeCell ref="B8:I8"/>
    <mergeCell ref="A10:J10"/>
    <mergeCell ref="B13:I13"/>
    <mergeCell ref="B14:I14"/>
  </mergeCells>
  <pageMargins left="0.51181102362204722" right="0.51181102362204722" top="0.74803149606299213" bottom="0.74803149606299213" header="0.31496062992125984" footer="0.31496062992125984"/>
  <pageSetup paperSize="9" scale="92" orientation="portrait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 tint="0.39997558519241921"/>
    <pageSetUpPr fitToPage="1"/>
  </sheetPr>
  <dimension ref="A1:W71"/>
  <sheetViews>
    <sheetView showGridLines="0" view="pageBreakPreview" zoomScale="70" zoomScaleNormal="100" zoomScaleSheetLayoutView="70" workbookViewId="0">
      <selection activeCell="C32" sqref="C32:G32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6.28515625" style="49" customWidth="1"/>
    <col min="4" max="4" width="16.7109375" style="49" customWidth="1"/>
    <col min="5" max="5" width="15.42578125" style="49" customWidth="1"/>
    <col min="6" max="6" width="12.5703125" style="49" customWidth="1"/>
    <col min="7" max="7" width="13.85546875" style="49" customWidth="1"/>
    <col min="8" max="8" width="12.42578125" style="49" customWidth="1"/>
    <col min="9" max="9" width="13.85546875" style="49" customWidth="1"/>
    <col min="10" max="11" width="11.5703125" style="49" customWidth="1"/>
    <col min="12" max="12" width="12.28515625" style="49" customWidth="1"/>
    <col min="13" max="13" width="9.140625" style="49"/>
    <col min="14" max="14" width="22.7109375" style="49" customWidth="1"/>
    <col min="15" max="16" width="9.140625" style="49"/>
    <col min="17" max="17" width="14.28515625" style="49" customWidth="1"/>
    <col min="18" max="16384" width="9.140625" style="49"/>
  </cols>
  <sheetData>
    <row r="1" spans="1:12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2" x14ac:dyDescent="0.25">
      <c r="A2" s="50"/>
      <c r="B2" s="354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46" t="s">
        <v>513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2" s="53" customFormat="1" ht="21" customHeight="1" x14ac:dyDescent="0.25">
      <c r="A4" s="748" t="s">
        <v>512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2" ht="33" customHeight="1" x14ac:dyDescent="0.25">
      <c r="A5" s="50" t="s">
        <v>20</v>
      </c>
      <c r="B5" s="750" t="s">
        <v>778</v>
      </c>
      <c r="C5" s="750"/>
      <c r="D5" s="750"/>
      <c r="E5" s="750"/>
      <c r="F5" s="750"/>
      <c r="G5" s="750"/>
      <c r="H5" s="750"/>
      <c r="I5" s="750"/>
      <c r="J5" s="750"/>
      <c r="K5" s="750"/>
      <c r="L5" s="750"/>
    </row>
    <row r="6" spans="1:12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2" x14ac:dyDescent="0.25">
      <c r="A7" s="55" t="s">
        <v>19</v>
      </c>
      <c r="B7" s="753"/>
      <c r="C7" s="754"/>
      <c r="D7" s="753"/>
      <c r="E7" s="756"/>
      <c r="F7" s="756"/>
      <c r="G7" s="756"/>
      <c r="H7" s="754"/>
      <c r="I7" s="753" t="s">
        <v>512</v>
      </c>
      <c r="J7" s="756"/>
      <c r="K7" s="756"/>
      <c r="L7" s="754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354"/>
      <c r="K8" s="354"/>
      <c r="L8" s="355"/>
    </row>
    <row r="9" spans="1:12" s="53" customFormat="1" x14ac:dyDescent="0.25">
      <c r="A9" s="393" t="s">
        <v>102</v>
      </c>
      <c r="B9" s="826" t="s">
        <v>541</v>
      </c>
      <c r="C9" s="826"/>
      <c r="D9" s="394"/>
      <c r="E9" s="394"/>
      <c r="F9" s="304">
        <f>SUM(F10:F13)</f>
        <v>986</v>
      </c>
      <c r="G9" s="304" t="s">
        <v>103</v>
      </c>
      <c r="H9" s="394"/>
      <c r="I9" s="304"/>
      <c r="J9" s="304"/>
      <c r="K9" s="304">
        <f>K11+K12</f>
        <v>970</v>
      </c>
      <c r="L9" s="304"/>
    </row>
    <row r="10" spans="1:12" x14ac:dyDescent="0.25">
      <c r="A10" s="50"/>
      <c r="B10" s="347" t="s">
        <v>523</v>
      </c>
      <c r="C10" s="347"/>
      <c r="D10" s="61"/>
      <c r="E10" s="61"/>
      <c r="F10" s="353">
        <f>29.5+3.5</f>
        <v>33</v>
      </c>
      <c r="G10" s="353" t="s">
        <v>103</v>
      </c>
      <c r="H10" s="61"/>
      <c r="I10" s="353"/>
      <c r="J10" s="353"/>
      <c r="K10" s="353"/>
      <c r="L10" s="353"/>
    </row>
    <row r="11" spans="1:12" x14ac:dyDescent="0.25">
      <c r="A11" s="50"/>
      <c r="B11" s="347" t="s">
        <v>544</v>
      </c>
      <c r="C11" s="347"/>
      <c r="D11" s="61"/>
      <c r="E11" s="61"/>
      <c r="F11" s="353">
        <f>621+83+7</f>
        <v>711</v>
      </c>
      <c r="G11" s="353" t="s">
        <v>103</v>
      </c>
      <c r="H11" s="61"/>
      <c r="I11" s="353"/>
      <c r="J11" s="353"/>
      <c r="K11" s="353">
        <f>220</f>
        <v>220</v>
      </c>
      <c r="L11" s="353" t="s">
        <v>103</v>
      </c>
    </row>
    <row r="12" spans="1:12" x14ac:dyDescent="0.25">
      <c r="A12" s="50"/>
      <c r="B12" s="347" t="s">
        <v>565</v>
      </c>
      <c r="C12" s="347"/>
      <c r="D12" s="61"/>
      <c r="E12" s="61"/>
      <c r="F12" s="353">
        <f>172.5+54.5+8</f>
        <v>235</v>
      </c>
      <c r="G12" s="353" t="s">
        <v>103</v>
      </c>
      <c r="H12" s="61"/>
      <c r="I12" s="416" t="s">
        <v>566</v>
      </c>
      <c r="J12" s="353"/>
      <c r="K12" s="353">
        <f>600+150</f>
        <v>750</v>
      </c>
      <c r="L12" s="353" t="s">
        <v>103</v>
      </c>
    </row>
    <row r="13" spans="1:12" x14ac:dyDescent="0.25">
      <c r="A13" s="50"/>
      <c r="B13" s="347" t="s">
        <v>545</v>
      </c>
      <c r="C13" s="347"/>
      <c r="D13" s="61"/>
      <c r="E13" s="61"/>
      <c r="F13" s="353">
        <v>7</v>
      </c>
      <c r="G13" s="353" t="s">
        <v>103</v>
      </c>
      <c r="H13" s="61"/>
      <c r="I13" s="353"/>
      <c r="J13" s="353"/>
      <c r="K13" s="353"/>
      <c r="L13" s="353"/>
    </row>
    <row r="14" spans="1:12" x14ac:dyDescent="0.25">
      <c r="A14" s="50"/>
      <c r="B14" s="347" t="s">
        <v>550</v>
      </c>
      <c r="C14" s="347"/>
      <c r="D14" s="61"/>
      <c r="E14" s="61"/>
      <c r="F14" s="353">
        <f>60+54.5+10</f>
        <v>124.5</v>
      </c>
      <c r="G14" s="353" t="s">
        <v>103</v>
      </c>
      <c r="H14" s="61"/>
      <c r="I14" s="353"/>
      <c r="J14" s="353"/>
      <c r="K14" s="353">
        <v>200</v>
      </c>
      <c r="L14" s="353" t="s">
        <v>103</v>
      </c>
    </row>
    <row r="15" spans="1:12" x14ac:dyDescent="0.25">
      <c r="A15" s="50"/>
      <c r="B15" s="347" t="s">
        <v>542</v>
      </c>
      <c r="C15" s="347"/>
      <c r="D15" s="61"/>
      <c r="E15" s="61"/>
      <c r="F15" s="353">
        <f>30+208+614+20</f>
        <v>872</v>
      </c>
      <c r="G15" s="353" t="s">
        <v>103</v>
      </c>
      <c r="H15" s="61"/>
      <c r="I15" s="353"/>
      <c r="J15" s="353"/>
      <c r="K15" s="353">
        <v>30</v>
      </c>
      <c r="L15" s="353" t="s">
        <v>103</v>
      </c>
    </row>
    <row r="16" spans="1:12" x14ac:dyDescent="0.25">
      <c r="A16" s="50"/>
      <c r="B16" s="347" t="s">
        <v>543</v>
      </c>
      <c r="C16" s="347"/>
      <c r="D16" s="61"/>
      <c r="E16" s="61"/>
      <c r="F16" s="353">
        <v>3</v>
      </c>
      <c r="G16" s="353" t="s">
        <v>2</v>
      </c>
      <c r="H16" s="61"/>
      <c r="I16" s="353"/>
      <c r="J16" s="353"/>
      <c r="K16" s="353">
        <v>1</v>
      </c>
      <c r="L16" s="353" t="s">
        <v>2</v>
      </c>
    </row>
    <row r="17" spans="1:23" ht="33.75" customHeight="1" x14ac:dyDescent="0.25">
      <c r="A17" s="64">
        <v>2</v>
      </c>
      <c r="B17" s="741" t="s">
        <v>297</v>
      </c>
      <c r="C17" s="721"/>
      <c r="D17" s="742">
        <f>D19+D20+D21+D22</f>
        <v>62085.570372786242</v>
      </c>
      <c r="E17" s="742"/>
      <c r="F17" s="742"/>
      <c r="G17" s="742"/>
      <c r="H17" s="742"/>
      <c r="I17" s="742">
        <f>(I19+I20+I21+I22+I23+I24+I25+I26)</f>
        <v>64306.884891472546</v>
      </c>
      <c r="J17" s="742"/>
      <c r="K17" s="742"/>
      <c r="L17" s="743"/>
      <c r="M17" s="49" t="s">
        <v>514</v>
      </c>
      <c r="O17" s="49" t="s">
        <v>515</v>
      </c>
      <c r="Q17" s="49">
        <f>6*2*0.3</f>
        <v>3.5999999999999996</v>
      </c>
      <c r="R17" s="49" t="s">
        <v>750</v>
      </c>
      <c r="S17" s="49" t="s">
        <v>755</v>
      </c>
      <c r="W17" s="49" t="s">
        <v>752</v>
      </c>
    </row>
    <row r="18" spans="1:23" x14ac:dyDescent="0.25">
      <c r="A18" s="65"/>
      <c r="B18" s="735" t="s">
        <v>106</v>
      </c>
      <c r="C18" s="735"/>
      <c r="D18" s="350"/>
      <c r="E18" s="736"/>
      <c r="F18" s="736"/>
      <c r="G18" s="736"/>
      <c r="H18" s="736"/>
      <c r="I18" s="736"/>
      <c r="J18" s="68"/>
      <c r="K18" s="68"/>
      <c r="L18" s="69"/>
      <c r="M18" s="49" t="s">
        <v>516</v>
      </c>
      <c r="O18" s="49" t="s">
        <v>517</v>
      </c>
      <c r="Q18" s="49">
        <f>2.2*2*0.3</f>
        <v>1.32</v>
      </c>
      <c r="R18" s="49" t="s">
        <v>750</v>
      </c>
      <c r="S18" s="49" t="s">
        <v>751</v>
      </c>
      <c r="W18" s="49" t="s">
        <v>752</v>
      </c>
    </row>
    <row r="19" spans="1:23" x14ac:dyDescent="0.25">
      <c r="A19" s="65"/>
      <c r="B19" s="735" t="s">
        <v>107</v>
      </c>
      <c r="C19" s="735"/>
      <c r="D19" s="736">
        <f>C44</f>
        <v>54748.444802786245</v>
      </c>
      <c r="E19" s="736"/>
      <c r="F19" s="736"/>
      <c r="G19" s="736"/>
      <c r="H19" s="736"/>
      <c r="I19" s="736">
        <f>H44</f>
        <v>53396.963955437612</v>
      </c>
      <c r="J19" s="736"/>
      <c r="K19" s="736"/>
      <c r="L19" s="773"/>
      <c r="M19" s="49" t="s">
        <v>555</v>
      </c>
      <c r="O19" s="49" t="s">
        <v>518</v>
      </c>
      <c r="Q19" s="49">
        <f>1.5*2*0.5</f>
        <v>1.5</v>
      </c>
      <c r="R19" s="49" t="s">
        <v>750</v>
      </c>
      <c r="S19" s="49" t="s">
        <v>751</v>
      </c>
      <c r="W19" s="49" t="s">
        <v>753</v>
      </c>
    </row>
    <row r="20" spans="1:23" x14ac:dyDescent="0.25">
      <c r="A20" s="65"/>
      <c r="B20" s="735" t="s">
        <v>108</v>
      </c>
      <c r="C20" s="735"/>
      <c r="D20" s="736">
        <f>D44</f>
        <v>0</v>
      </c>
      <c r="E20" s="736"/>
      <c r="F20" s="736"/>
      <c r="G20" s="736"/>
      <c r="H20" s="736"/>
      <c r="I20" s="736">
        <f>I35</f>
        <v>0</v>
      </c>
      <c r="J20" s="736"/>
      <c r="K20" s="736"/>
      <c r="L20" s="773"/>
      <c r="M20" s="49" t="s">
        <v>549</v>
      </c>
      <c r="O20" s="49" t="s">
        <v>519</v>
      </c>
      <c r="Q20" s="49">
        <f>SUM(Q17:Q19)</f>
        <v>6.42</v>
      </c>
      <c r="R20" s="49" t="s">
        <v>754</v>
      </c>
    </row>
    <row r="21" spans="1:23" x14ac:dyDescent="0.25">
      <c r="A21" s="65"/>
      <c r="B21" s="735" t="s">
        <v>109</v>
      </c>
      <c r="C21" s="735"/>
      <c r="D21" s="736">
        <f>E44</f>
        <v>563.87780999999995</v>
      </c>
      <c r="E21" s="736"/>
      <c r="F21" s="736"/>
      <c r="G21" s="736"/>
      <c r="H21" s="736"/>
      <c r="I21" s="736">
        <f>J35</f>
        <v>0</v>
      </c>
      <c r="J21" s="736"/>
      <c r="K21" s="736"/>
      <c r="L21" s="773"/>
    </row>
    <row r="22" spans="1:23" x14ac:dyDescent="0.25">
      <c r="A22" s="65"/>
      <c r="B22" s="352" t="s">
        <v>110</v>
      </c>
      <c r="C22" s="352"/>
      <c r="D22" s="736">
        <f>F44</f>
        <v>6773.2477599999993</v>
      </c>
      <c r="E22" s="736"/>
      <c r="F22" s="736">
        <f>F44</f>
        <v>6773.2477599999993</v>
      </c>
      <c r="G22" s="736"/>
      <c r="H22" s="736"/>
      <c r="I22" s="736">
        <f>K44</f>
        <v>6231.5959312894274</v>
      </c>
      <c r="J22" s="736"/>
      <c r="K22" s="736"/>
      <c r="L22" s="773"/>
      <c r="M22" s="49" t="s">
        <v>520</v>
      </c>
      <c r="O22" s="49" t="s">
        <v>521</v>
      </c>
    </row>
    <row r="23" spans="1:23" x14ac:dyDescent="0.25">
      <c r="A23" s="65"/>
      <c r="B23" s="352" t="s">
        <v>85</v>
      </c>
      <c r="C23" s="352"/>
      <c r="D23" s="350"/>
      <c r="E23" s="350"/>
      <c r="F23" s="350"/>
      <c r="G23" s="350"/>
      <c r="H23" s="350"/>
      <c r="I23" s="736">
        <f>I19*0.015</f>
        <v>800.95445933156418</v>
      </c>
      <c r="J23" s="736"/>
      <c r="K23" s="736"/>
      <c r="L23" s="773"/>
      <c r="M23" s="49" t="s">
        <v>141</v>
      </c>
      <c r="O23" s="49" t="s">
        <v>522</v>
      </c>
    </row>
    <row r="24" spans="1:23" x14ac:dyDescent="0.25">
      <c r="A24" s="65"/>
      <c r="B24" s="352" t="s">
        <v>39</v>
      </c>
      <c r="C24" s="352"/>
      <c r="D24" s="350"/>
      <c r="E24" s="350"/>
      <c r="F24" s="350"/>
      <c r="G24" s="350"/>
      <c r="H24" s="350"/>
      <c r="I24" s="736">
        <f>I19*0.029</f>
        <v>1548.5119547076908</v>
      </c>
      <c r="J24" s="736"/>
      <c r="K24" s="736"/>
      <c r="L24" s="773"/>
    </row>
    <row r="25" spans="1:23" x14ac:dyDescent="0.25">
      <c r="A25" s="65"/>
      <c r="B25" s="352" t="s">
        <v>40</v>
      </c>
      <c r="C25" s="352"/>
      <c r="D25" s="350"/>
      <c r="E25" s="350"/>
      <c r="F25" s="350"/>
      <c r="G25" s="350"/>
      <c r="H25" s="350"/>
      <c r="I25" s="736">
        <f>I19*0.02</f>
        <v>1067.9392791087523</v>
      </c>
      <c r="J25" s="736"/>
      <c r="K25" s="736"/>
      <c r="L25" s="773"/>
    </row>
    <row r="26" spans="1:23" x14ac:dyDescent="0.25">
      <c r="A26" s="65"/>
      <c r="B26" s="352" t="s">
        <v>163</v>
      </c>
      <c r="C26" s="352"/>
      <c r="D26" s="350"/>
      <c r="E26" s="350"/>
      <c r="F26" s="350"/>
      <c r="G26" s="350"/>
      <c r="H26" s="350"/>
      <c r="I26" s="736">
        <f>(I19+I22+I23+I24+I25+I21+I20)*0.02</f>
        <v>1260.9193115975011</v>
      </c>
      <c r="J26" s="736"/>
      <c r="K26" s="736"/>
      <c r="L26" s="773"/>
    </row>
    <row r="27" spans="1:23" s="578" customFormat="1" x14ac:dyDescent="0.25">
      <c r="A27" s="576"/>
      <c r="B27" s="571" t="s">
        <v>722</v>
      </c>
      <c r="C27" s="571"/>
      <c r="D27" s="562"/>
      <c r="E27" s="562"/>
      <c r="F27" s="562"/>
      <c r="G27" s="562"/>
      <c r="H27" s="562"/>
      <c r="I27" s="562"/>
      <c r="J27" s="825">
        <f>I17*M27</f>
        <v>73811.442478432189</v>
      </c>
      <c r="K27" s="825"/>
      <c r="L27" s="577"/>
      <c r="M27" s="578">
        <f>[16]МГЭ!$I$3</f>
        <v>1.1477999999999999</v>
      </c>
    </row>
    <row r="28" spans="1:23" x14ac:dyDescent="0.25">
      <c r="A28" s="65"/>
      <c r="B28" s="208" t="s">
        <v>558</v>
      </c>
      <c r="C28" s="208"/>
      <c r="D28" s="208"/>
      <c r="E28" s="208"/>
      <c r="F28" s="208"/>
      <c r="G28" s="208"/>
      <c r="H28" s="208"/>
      <c r="I28" s="101">
        <f>J27/K9</f>
        <v>76.094270596321849</v>
      </c>
      <c r="J28" s="101"/>
      <c r="K28" s="101"/>
      <c r="L28" s="102"/>
    </row>
    <row r="29" spans="1:23" x14ac:dyDescent="0.25">
      <c r="A29" s="65"/>
      <c r="B29" s="352"/>
      <c r="C29" s="352"/>
      <c r="D29" s="350"/>
      <c r="E29" s="350"/>
      <c r="F29" s="350"/>
      <c r="G29" s="350"/>
      <c r="H29" s="350"/>
      <c r="I29" s="350"/>
      <c r="J29" s="350"/>
      <c r="K29" s="350"/>
      <c r="L29" s="351"/>
    </row>
    <row r="30" spans="1:23" x14ac:dyDescent="0.25">
      <c r="A30" s="720" t="s">
        <v>295</v>
      </c>
      <c r="B30" s="721"/>
      <c r="C30" s="721"/>
      <c r="D30" s="721"/>
      <c r="E30" s="721"/>
      <c r="F30" s="721"/>
      <c r="G30" s="721"/>
      <c r="H30" s="721"/>
      <c r="I30" s="721"/>
      <c r="J30" s="721"/>
      <c r="K30" s="721"/>
      <c r="L30" s="722"/>
    </row>
    <row r="31" spans="1:23" ht="13.5" customHeight="1" x14ac:dyDescent="0.25">
      <c r="A31" s="723" t="s">
        <v>112</v>
      </c>
      <c r="B31" s="726" t="s">
        <v>113</v>
      </c>
      <c r="C31" s="729" t="s">
        <v>99</v>
      </c>
      <c r="D31" s="730"/>
      <c r="E31" s="730"/>
      <c r="F31" s="730"/>
      <c r="G31" s="731"/>
      <c r="H31" s="729" t="s">
        <v>100</v>
      </c>
      <c r="I31" s="730"/>
      <c r="J31" s="730"/>
      <c r="K31" s="730"/>
      <c r="L31" s="731"/>
    </row>
    <row r="32" spans="1:23" x14ac:dyDescent="0.25">
      <c r="A32" s="724"/>
      <c r="B32" s="727"/>
      <c r="C32" s="732"/>
      <c r="D32" s="733"/>
      <c r="E32" s="733"/>
      <c r="F32" s="733"/>
      <c r="G32" s="734"/>
      <c r="H32" s="732"/>
      <c r="I32" s="733"/>
      <c r="J32" s="733"/>
      <c r="K32" s="733"/>
      <c r="L32" s="734"/>
    </row>
    <row r="33" spans="1:12" x14ac:dyDescent="0.25">
      <c r="A33" s="725"/>
      <c r="B33" s="728"/>
      <c r="C33" s="72" t="s">
        <v>114</v>
      </c>
      <c r="D33" s="348" t="s">
        <v>115</v>
      </c>
      <c r="E33" s="348" t="s">
        <v>116</v>
      </c>
      <c r="F33" s="348" t="s">
        <v>13</v>
      </c>
      <c r="G33" s="349" t="s">
        <v>117</v>
      </c>
      <c r="H33" s="72" t="s">
        <v>114</v>
      </c>
      <c r="I33" s="348" t="s">
        <v>115</v>
      </c>
      <c r="J33" s="348" t="s">
        <v>116</v>
      </c>
      <c r="K33" s="348" t="s">
        <v>13</v>
      </c>
      <c r="L33" s="349" t="s">
        <v>117</v>
      </c>
    </row>
    <row r="34" spans="1:12" x14ac:dyDescent="0.25">
      <c r="A34" s="75" t="s">
        <v>118</v>
      </c>
      <c r="B34" s="76">
        <v>2</v>
      </c>
      <c r="C34" s="77">
        <v>3</v>
      </c>
      <c r="D34" s="78">
        <v>4</v>
      </c>
      <c r="E34" s="78">
        <v>5</v>
      </c>
      <c r="F34" s="78">
        <v>6</v>
      </c>
      <c r="G34" s="76">
        <v>7</v>
      </c>
      <c r="H34" s="77">
        <v>8</v>
      </c>
      <c r="I34" s="78">
        <v>9</v>
      </c>
      <c r="J34" s="78">
        <v>10</v>
      </c>
      <c r="K34" s="78">
        <v>11</v>
      </c>
      <c r="L34" s="76">
        <v>12</v>
      </c>
    </row>
    <row r="35" spans="1:12" ht="31.5" x14ac:dyDescent="0.25">
      <c r="A35" s="395">
        <v>1</v>
      </c>
      <c r="B35" s="396" t="s">
        <v>539</v>
      </c>
      <c r="C35" s="397">
        <f>(859811.97+13555.57+3042061.89+50935.81+550911.35+44493.24+153700.73+511309.81+2079+264109.74+108624.79+1661392.13+141382.49+2187166.48+14996816.48)/1000</f>
        <v>24588.351480000001</v>
      </c>
      <c r="D35" s="398">
        <v>0</v>
      </c>
      <c r="E35" s="398">
        <v>0</v>
      </c>
      <c r="F35" s="398">
        <f>(4411162.88+1801933.54+9863.59+95521.43)/1000</f>
        <v>6318.4814399999996</v>
      </c>
      <c r="G35" s="399">
        <f>F35+E35+D35+C35</f>
        <v>30906.832920000001</v>
      </c>
      <c r="H35" s="397">
        <f>C35/F9*(K11+K12)</f>
        <v>24189.35186166329</v>
      </c>
      <c r="I35" s="398">
        <f t="shared" ref="I35:J35" si="0">D35/8*4</f>
        <v>0</v>
      </c>
      <c r="J35" s="398">
        <f t="shared" si="0"/>
        <v>0</v>
      </c>
      <c r="K35" s="398">
        <f>F35/F9*(K11+K12)</f>
        <v>6215.950301014198</v>
      </c>
      <c r="L35" s="399">
        <f>K35+J35+I35+H35</f>
        <v>30405.302162677486</v>
      </c>
    </row>
    <row r="36" spans="1:12" ht="31.5" x14ac:dyDescent="0.25">
      <c r="A36" s="238" t="s">
        <v>172</v>
      </c>
      <c r="B36" s="396" t="s">
        <v>540</v>
      </c>
      <c r="C36" s="240">
        <f>(782010.06+1371469.96)/1000</f>
        <v>2153.48002</v>
      </c>
      <c r="D36" s="241">
        <v>0</v>
      </c>
      <c r="E36" s="241">
        <v>0</v>
      </c>
      <c r="F36" s="241">
        <f>(322189.74+131612.58)/1000</f>
        <v>453.80231999999995</v>
      </c>
      <c r="G36" s="399">
        <f t="shared" ref="G36:G38" si="1">F36+E36+D36+C36</f>
        <v>2607.2823399999997</v>
      </c>
      <c r="H36" s="240">
        <f>C36/F15*K15</f>
        <v>74.087615366972472</v>
      </c>
      <c r="I36" s="241">
        <f>D36</f>
        <v>0</v>
      </c>
      <c r="J36" s="241">
        <f>E36</f>
        <v>0</v>
      </c>
      <c r="K36" s="241">
        <f>F36/F15*K15</f>
        <v>15.612465137614677</v>
      </c>
      <c r="L36" s="399">
        <f t="shared" ref="L36:L43" si="2">K36+J36+I36+H36</f>
        <v>89.700080504587149</v>
      </c>
    </row>
    <row r="37" spans="1:12" ht="47.25" x14ac:dyDescent="0.25">
      <c r="A37" s="238" t="s">
        <v>120</v>
      </c>
      <c r="B37" s="239" t="s">
        <v>552</v>
      </c>
      <c r="C37" s="240">
        <f>(6877791.73+1533460.37+69007.77)/1000+(21245.73+370.96)/1000+434865.55/1000+47307.48/1000+48161.04/1000+187510.61/1000/8.9138*0.2068+575722.25/1000+217486.37/1000+(16415.74+9679.5+945.26)/1000</f>
        <v>9856.8099927862459</v>
      </c>
      <c r="D37" s="241">
        <v>0</v>
      </c>
      <c r="E37" s="241">
        <f>(342812.84+23352.3+7784.1)/1000</f>
        <v>373.94923999999997</v>
      </c>
      <c r="F37" s="241">
        <v>0</v>
      </c>
      <c r="G37" s="399">
        <f t="shared" si="1"/>
        <v>10230.759232786246</v>
      </c>
      <c r="H37" s="240">
        <f>C37/F11*K11</f>
        <v>3049.9271426342812</v>
      </c>
      <c r="I37" s="241">
        <f>D37</f>
        <v>0</v>
      </c>
      <c r="J37" s="241">
        <f>E37/F11*K11</f>
        <v>115.70862559774964</v>
      </c>
      <c r="K37" s="241">
        <f>F37</f>
        <v>0</v>
      </c>
      <c r="L37" s="399">
        <f t="shared" si="2"/>
        <v>3165.6357682320308</v>
      </c>
    </row>
    <row r="38" spans="1:12" ht="47.25" x14ac:dyDescent="0.25">
      <c r="A38" s="238" t="s">
        <v>121</v>
      </c>
      <c r="B38" s="239" t="s">
        <v>551</v>
      </c>
      <c r="C38" s="240">
        <f>(710108.65+344944.88+11180.21)/1000+(18421.82+303.97)/1000+181633.28/1000+21420.77/1000+1631.12/1000+12345.07/1000+8246.06/1000+17493.17/1000+757084.17/1000+(25906.55+1088.88)/1000</f>
        <v>2111.8085999999998</v>
      </c>
      <c r="D38" s="241">
        <v>0</v>
      </c>
      <c r="E38" s="241">
        <f>(6770.97+72190.46+110967.14)/1000</f>
        <v>189.92857000000001</v>
      </c>
      <c r="F38" s="241">
        <v>0</v>
      </c>
      <c r="G38" s="399">
        <f t="shared" si="1"/>
        <v>2301.7371699999999</v>
      </c>
      <c r="H38" s="240">
        <f>C38/F12*(600+150*2)</f>
        <v>8087.7776170212765</v>
      </c>
      <c r="I38" s="241">
        <f>D38</f>
        <v>0</v>
      </c>
      <c r="J38" s="241">
        <f>E38/F12*(600+150*2)</f>
        <v>727.3860127659575</v>
      </c>
      <c r="K38" s="241">
        <f>F38</f>
        <v>0</v>
      </c>
      <c r="L38" s="399">
        <f t="shared" si="2"/>
        <v>8815.1636297872337</v>
      </c>
    </row>
    <row r="39" spans="1:12" x14ac:dyDescent="0.25">
      <c r="A39" s="238" t="s">
        <v>177</v>
      </c>
      <c r="B39" s="239" t="s">
        <v>547</v>
      </c>
      <c r="C39" s="240">
        <f>(4310546.2-2595717.58-349015.48-257923.42)/1000</f>
        <v>1107.8897200000001</v>
      </c>
      <c r="D39" s="241">
        <v>0</v>
      </c>
      <c r="E39" s="241">
        <v>0</v>
      </c>
      <c r="F39" s="241">
        <v>0</v>
      </c>
      <c r="G39" s="399">
        <f t="shared" ref="G39:G41" si="3">F39+E39+D39+C39</f>
        <v>1107.8897200000001</v>
      </c>
      <c r="H39" s="240">
        <f>C39/(F12+F11)*(K11+600+150*2)</f>
        <v>1311.6664761099366</v>
      </c>
      <c r="I39" s="241">
        <f>D39</f>
        <v>0</v>
      </c>
      <c r="J39" s="241">
        <f>E39</f>
        <v>0</v>
      </c>
      <c r="K39" s="241">
        <f>F39</f>
        <v>0</v>
      </c>
      <c r="L39" s="399">
        <f t="shared" si="2"/>
        <v>1311.6664761099366</v>
      </c>
    </row>
    <row r="40" spans="1:12" x14ac:dyDescent="0.25">
      <c r="A40" s="238" t="s">
        <v>179</v>
      </c>
      <c r="B40" s="239" t="s">
        <v>548</v>
      </c>
      <c r="C40" s="240">
        <f>240939.73/1000</f>
        <v>240.93973</v>
      </c>
      <c r="D40" s="241">
        <v>0</v>
      </c>
      <c r="E40" s="241">
        <v>0</v>
      </c>
      <c r="F40" s="241">
        <v>0</v>
      </c>
      <c r="G40" s="399">
        <f t="shared" si="3"/>
        <v>240.93973</v>
      </c>
      <c r="H40" s="240">
        <f>C40/(F11+F12)*(K11+600+150*2)</f>
        <v>285.2563399577167</v>
      </c>
      <c r="I40" s="241">
        <f>D40</f>
        <v>0</v>
      </c>
      <c r="J40" s="241">
        <f>E40</f>
        <v>0</v>
      </c>
      <c r="K40" s="241">
        <f>F40</f>
        <v>0</v>
      </c>
      <c r="L40" s="399">
        <f t="shared" si="2"/>
        <v>285.2563399577167</v>
      </c>
    </row>
    <row r="41" spans="1:12" ht="31.5" x14ac:dyDescent="0.25">
      <c r="A41" s="238" t="s">
        <v>181</v>
      </c>
      <c r="B41" s="239" t="s">
        <v>553</v>
      </c>
      <c r="C41" s="240">
        <f>930781.91/1000+699952.39/1000+76676.21/10</f>
        <v>9298.3553000000011</v>
      </c>
      <c r="D41" s="241">
        <v>0</v>
      </c>
      <c r="E41" s="241">
        <v>0</v>
      </c>
      <c r="F41" s="241">
        <v>0</v>
      </c>
      <c r="G41" s="399">
        <f t="shared" si="3"/>
        <v>9298.3553000000011</v>
      </c>
      <c r="H41" s="240">
        <f>C41/F14*K14</f>
        <v>14937.116947791164</v>
      </c>
      <c r="I41" s="241">
        <v>0</v>
      </c>
      <c r="J41" s="241">
        <v>0</v>
      </c>
      <c r="K41" s="241">
        <v>0</v>
      </c>
      <c r="L41" s="399">
        <f t="shared" si="2"/>
        <v>14937.116947791164</v>
      </c>
    </row>
    <row r="42" spans="1:12" x14ac:dyDescent="0.25">
      <c r="A42" s="238" t="s">
        <v>183</v>
      </c>
      <c r="B42" s="239" t="s">
        <v>554</v>
      </c>
      <c r="C42" s="240">
        <f>(1122153.3-964.14)/1000</f>
        <v>1121.1891600000001</v>
      </c>
      <c r="D42" s="241">
        <v>0</v>
      </c>
      <c r="E42" s="241">
        <v>0</v>
      </c>
      <c r="F42" s="241">
        <v>0.96399999999999997</v>
      </c>
      <c r="G42" s="399">
        <f t="shared" ref="G42:G43" si="4">F42+E42+D42+C42</f>
        <v>1122.1531600000001</v>
      </c>
      <c r="H42" s="240">
        <f>C42/F15*K15</f>
        <v>38.573021559633034</v>
      </c>
      <c r="I42" s="241">
        <v>0</v>
      </c>
      <c r="J42" s="241">
        <v>0</v>
      </c>
      <c r="K42" s="241">
        <f>F42/F15*K15</f>
        <v>3.3165137614678895E-2</v>
      </c>
      <c r="L42" s="399">
        <f t="shared" si="2"/>
        <v>38.606186697247715</v>
      </c>
    </row>
    <row r="43" spans="1:12" s="84" customFormat="1" x14ac:dyDescent="0.25">
      <c r="A43" s="85" t="s">
        <v>556</v>
      </c>
      <c r="B43" s="86" t="s">
        <v>557</v>
      </c>
      <c r="C43" s="87">
        <f>(2559379.69+861891.82+848349.29)/1000</f>
        <v>4269.6207999999997</v>
      </c>
      <c r="D43" s="88">
        <v>0</v>
      </c>
      <c r="E43" s="88">
        <v>0</v>
      </c>
      <c r="F43" s="88">
        <v>0</v>
      </c>
      <c r="G43" s="89">
        <f t="shared" si="4"/>
        <v>4269.6207999999997</v>
      </c>
      <c r="H43" s="87">
        <f>C43/3</f>
        <v>1423.2069333333332</v>
      </c>
      <c r="I43" s="88">
        <v>0</v>
      </c>
      <c r="J43" s="88">
        <v>0</v>
      </c>
      <c r="K43" s="88">
        <v>0</v>
      </c>
      <c r="L43" s="399">
        <f t="shared" si="2"/>
        <v>1423.2069333333332</v>
      </c>
    </row>
    <row r="44" spans="1:12" s="53" customFormat="1" ht="21.75" customHeight="1" x14ac:dyDescent="0.25">
      <c r="A44" s="90"/>
      <c r="B44" s="91" t="s">
        <v>122</v>
      </c>
      <c r="C44" s="92">
        <f t="shared" ref="C44:F44" si="5">SUM(C35:C43)</f>
        <v>54748.444802786245</v>
      </c>
      <c r="D44" s="93">
        <f t="shared" si="5"/>
        <v>0</v>
      </c>
      <c r="E44" s="93">
        <f t="shared" si="5"/>
        <v>563.87780999999995</v>
      </c>
      <c r="F44" s="93">
        <f t="shared" si="5"/>
        <v>6773.2477599999993</v>
      </c>
      <c r="G44" s="94">
        <f>SUM(G35:G43)</f>
        <v>62085.570372786242</v>
      </c>
      <c r="H44" s="92">
        <f t="shared" ref="H44:L44" si="6">SUM(H35:H43)</f>
        <v>53396.963955437612</v>
      </c>
      <c r="I44" s="93">
        <f t="shared" si="6"/>
        <v>0</v>
      </c>
      <c r="J44" s="93">
        <f t="shared" si="6"/>
        <v>843.09463836370719</v>
      </c>
      <c r="K44" s="93">
        <f t="shared" si="6"/>
        <v>6231.5959312894274</v>
      </c>
      <c r="L44" s="94">
        <f t="shared" si="6"/>
        <v>60471.654525090737</v>
      </c>
    </row>
    <row r="45" spans="1:12" x14ac:dyDescent="0.25">
      <c r="A45" s="95"/>
      <c r="B45" s="96"/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8" spans="1:12" x14ac:dyDescent="0.25">
      <c r="D48" s="100"/>
    </row>
    <row r="49" spans="1:5" x14ac:dyDescent="0.25">
      <c r="D49" s="100"/>
    </row>
    <row r="50" spans="1:5" x14ac:dyDescent="0.25">
      <c r="D50" s="100"/>
    </row>
    <row r="51" spans="1:5" x14ac:dyDescent="0.25">
      <c r="D51" s="100"/>
    </row>
    <row r="52" spans="1:5" x14ac:dyDescent="0.25">
      <c r="A52" s="392"/>
      <c r="D52" s="100"/>
      <c r="E52" s="100"/>
    </row>
    <row r="53" spans="1:5" x14ac:dyDescent="0.25">
      <c r="A53" s="392"/>
      <c r="B53" s="49" t="s">
        <v>546</v>
      </c>
      <c r="D53" s="100"/>
      <c r="E53" s="100"/>
    </row>
    <row r="54" spans="1:5" x14ac:dyDescent="0.25">
      <c r="A54" s="392"/>
      <c r="B54" s="49" t="s">
        <v>529</v>
      </c>
      <c r="D54" s="100"/>
      <c r="E54" s="100"/>
    </row>
    <row r="55" spans="1:5" x14ac:dyDescent="0.25">
      <c r="A55" s="392" t="s">
        <v>525</v>
      </c>
      <c r="B55" s="49" t="s">
        <v>523</v>
      </c>
      <c r="C55" s="49" t="s">
        <v>103</v>
      </c>
      <c r="D55" s="100">
        <v>29.5</v>
      </c>
      <c r="E55" s="100"/>
    </row>
    <row r="56" spans="1:5" x14ac:dyDescent="0.25">
      <c r="A56" s="392" t="s">
        <v>537</v>
      </c>
      <c r="B56" s="49" t="s">
        <v>524</v>
      </c>
      <c r="C56" s="49" t="s">
        <v>103</v>
      </c>
      <c r="D56" s="100">
        <f>621+83</f>
        <v>704</v>
      </c>
      <c r="E56" s="100"/>
    </row>
    <row r="57" spans="1:5" x14ac:dyDescent="0.25">
      <c r="A57" s="392" t="s">
        <v>538</v>
      </c>
      <c r="B57" s="49" t="s">
        <v>526</v>
      </c>
      <c r="C57" s="49" t="s">
        <v>103</v>
      </c>
      <c r="D57" s="100">
        <f>172.5+54.5</f>
        <v>227</v>
      </c>
      <c r="E57" s="100"/>
    </row>
    <row r="58" spans="1:5" x14ac:dyDescent="0.25">
      <c r="A58" s="392" t="s">
        <v>528</v>
      </c>
      <c r="B58" s="49" t="s">
        <v>527</v>
      </c>
      <c r="C58" s="49" t="s">
        <v>103</v>
      </c>
      <c r="D58" s="100">
        <v>8</v>
      </c>
      <c r="E58" s="100"/>
    </row>
    <row r="59" spans="1:5" x14ac:dyDescent="0.25">
      <c r="A59" s="392"/>
      <c r="B59" s="49" t="s">
        <v>530</v>
      </c>
      <c r="D59" s="100"/>
      <c r="E59" s="100"/>
    </row>
    <row r="60" spans="1:5" x14ac:dyDescent="0.25">
      <c r="A60" s="392" t="s">
        <v>531</v>
      </c>
      <c r="B60" s="49" t="s">
        <v>523</v>
      </c>
      <c r="C60" s="49" t="s">
        <v>103</v>
      </c>
      <c r="D60" s="100">
        <v>3.5</v>
      </c>
      <c r="E60" s="100"/>
    </row>
    <row r="61" spans="1:5" x14ac:dyDescent="0.25">
      <c r="A61" s="392" t="s">
        <v>533</v>
      </c>
      <c r="B61" s="49" t="s">
        <v>532</v>
      </c>
      <c r="C61" s="49" t="s">
        <v>103</v>
      </c>
      <c r="D61" s="100">
        <v>7</v>
      </c>
      <c r="E61" s="100"/>
    </row>
    <row r="62" spans="1:5" x14ac:dyDescent="0.25">
      <c r="A62" s="392"/>
      <c r="B62" s="49" t="s">
        <v>534</v>
      </c>
      <c r="D62" s="100"/>
      <c r="E62" s="100"/>
    </row>
    <row r="63" spans="1:5" x14ac:dyDescent="0.25">
      <c r="A63" s="392" t="s">
        <v>535</v>
      </c>
      <c r="B63" s="49" t="s">
        <v>536</v>
      </c>
      <c r="C63" s="49" t="s">
        <v>103</v>
      </c>
      <c r="D63" s="100">
        <v>7</v>
      </c>
    </row>
    <row r="64" spans="1:5" x14ac:dyDescent="0.25">
      <c r="A64" s="392"/>
      <c r="D64" s="100"/>
    </row>
    <row r="65" spans="1:1" x14ac:dyDescent="0.25">
      <c r="A65" s="392"/>
    </row>
    <row r="66" spans="1:1" x14ac:dyDescent="0.25">
      <c r="A66" s="392"/>
    </row>
    <row r="67" spans="1:1" x14ac:dyDescent="0.25">
      <c r="A67" s="392"/>
    </row>
    <row r="68" spans="1:1" x14ac:dyDescent="0.25">
      <c r="A68" s="392"/>
    </row>
    <row r="69" spans="1:1" x14ac:dyDescent="0.25">
      <c r="A69" s="392"/>
    </row>
    <row r="70" spans="1:1" x14ac:dyDescent="0.25">
      <c r="A70" s="392"/>
    </row>
    <row r="71" spans="1:1" x14ac:dyDescent="0.25">
      <c r="A71" s="392"/>
    </row>
  </sheetData>
  <mergeCells count="39">
    <mergeCell ref="A1:L1"/>
    <mergeCell ref="A3:L3"/>
    <mergeCell ref="A4:L4"/>
    <mergeCell ref="B5:L5"/>
    <mergeCell ref="B6:C7"/>
    <mergeCell ref="D6:H6"/>
    <mergeCell ref="I6:L6"/>
    <mergeCell ref="D7:H7"/>
    <mergeCell ref="I7:L7"/>
    <mergeCell ref="B8:C8"/>
    <mergeCell ref="B9:C9"/>
    <mergeCell ref="B17:C17"/>
    <mergeCell ref="D17:H17"/>
    <mergeCell ref="I17:L17"/>
    <mergeCell ref="I23:L23"/>
    <mergeCell ref="B18:C18"/>
    <mergeCell ref="E18:I18"/>
    <mergeCell ref="B19:C19"/>
    <mergeCell ref="D19:H19"/>
    <mergeCell ref="I19:L19"/>
    <mergeCell ref="B20:C20"/>
    <mergeCell ref="D20:H20"/>
    <mergeCell ref="I20:L20"/>
    <mergeCell ref="B21:C21"/>
    <mergeCell ref="D21:H21"/>
    <mergeCell ref="I21:L21"/>
    <mergeCell ref="D22:H22"/>
    <mergeCell ref="I22:L22"/>
    <mergeCell ref="H32:L32"/>
    <mergeCell ref="I24:L24"/>
    <mergeCell ref="I25:L25"/>
    <mergeCell ref="I26:L26"/>
    <mergeCell ref="J27:K27"/>
    <mergeCell ref="A30:L30"/>
    <mergeCell ref="A31:A33"/>
    <mergeCell ref="B31:B33"/>
    <mergeCell ref="C31:G31"/>
    <mergeCell ref="H31:L31"/>
    <mergeCell ref="C32:G32"/>
  </mergeCells>
  <pageMargins left="0.39370078740157483" right="0.39370078740157483" top="0.59055118110236227" bottom="0.39370078740157483" header="0" footer="0"/>
  <pageSetup paperSize="9" scale="46" fitToHeight="100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 tint="0.39997558519241921"/>
    <pageSetUpPr fitToPage="1"/>
  </sheetPr>
  <dimension ref="A1:N87"/>
  <sheetViews>
    <sheetView showGridLines="0" zoomScale="62" zoomScaleNormal="62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6.28515625" style="49" customWidth="1"/>
    <col min="4" max="4" width="16.7109375" style="49" customWidth="1"/>
    <col min="5" max="5" width="15.42578125" style="49" customWidth="1"/>
    <col min="6" max="6" width="12.5703125" style="49" customWidth="1"/>
    <col min="7" max="7" width="13.85546875" style="49" customWidth="1"/>
    <col min="8" max="8" width="15.140625" style="49" customWidth="1"/>
    <col min="9" max="9" width="13.85546875" style="49" customWidth="1"/>
    <col min="10" max="10" width="11.5703125" style="49" customWidth="1"/>
    <col min="11" max="11" width="13" style="49" customWidth="1"/>
    <col min="12" max="12" width="12.28515625" style="49" customWidth="1"/>
    <col min="13" max="13" width="11.5703125" style="49" bestFit="1" customWidth="1"/>
    <col min="14" max="14" width="22.7109375" style="49" customWidth="1"/>
    <col min="15" max="16384" width="9.140625" style="49"/>
  </cols>
  <sheetData>
    <row r="1" spans="1:13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3" x14ac:dyDescent="0.25">
      <c r="A2" s="50"/>
      <c r="B2" s="41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3" s="53" customFormat="1" x14ac:dyDescent="0.25">
      <c r="A3" s="746" t="s">
        <v>561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3" s="53" customFormat="1" ht="21" customHeight="1" x14ac:dyDescent="0.25">
      <c r="A4" s="748" t="s">
        <v>562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3" s="53" customFormat="1" ht="21" customHeight="1" x14ac:dyDescent="0.25">
      <c r="A5" s="402"/>
      <c r="B5" s="415" t="s">
        <v>563</v>
      </c>
      <c r="C5" s="403"/>
      <c r="D5" s="403"/>
      <c r="E5" s="403"/>
      <c r="F5" s="403"/>
      <c r="G5" s="403"/>
      <c r="H5" s="403"/>
      <c r="I5" s="403"/>
      <c r="J5" s="403"/>
      <c r="K5" s="403"/>
      <c r="L5" s="403"/>
    </row>
    <row r="6" spans="1:13" ht="33" customHeight="1" x14ac:dyDescent="0.25">
      <c r="A6" s="50" t="s">
        <v>20</v>
      </c>
      <c r="B6" s="741" t="s">
        <v>778</v>
      </c>
      <c r="C6" s="741"/>
      <c r="D6" s="741"/>
      <c r="E6" s="741"/>
      <c r="F6" s="741"/>
      <c r="G6" s="741"/>
      <c r="H6" s="741"/>
      <c r="I6" s="741"/>
      <c r="J6" s="741"/>
      <c r="K6" s="741"/>
      <c r="L6" s="741"/>
    </row>
    <row r="7" spans="1:13" s="145" customFormat="1" ht="31.9" customHeight="1" x14ac:dyDescent="0.25">
      <c r="A7" s="142" t="s">
        <v>21</v>
      </c>
      <c r="B7" s="820" t="s">
        <v>776</v>
      </c>
      <c r="C7" s="820"/>
      <c r="D7" s="820"/>
      <c r="E7" s="820"/>
      <c r="F7" s="820"/>
      <c r="G7" s="820"/>
      <c r="H7" s="820"/>
      <c r="I7" s="820"/>
      <c r="J7" s="820"/>
      <c r="K7" s="820"/>
      <c r="L7" s="820"/>
      <c r="M7" s="144"/>
    </row>
    <row r="8" spans="1:13" ht="13.5" customHeight="1" x14ac:dyDescent="0.25">
      <c r="A8" s="54" t="s">
        <v>97</v>
      </c>
      <c r="B8" s="751" t="s">
        <v>98</v>
      </c>
      <c r="C8" s="752"/>
      <c r="D8" s="751" t="s">
        <v>99</v>
      </c>
      <c r="E8" s="755"/>
      <c r="F8" s="755"/>
      <c r="G8" s="755"/>
      <c r="H8" s="752"/>
      <c r="I8" s="751" t="s">
        <v>100</v>
      </c>
      <c r="J8" s="755"/>
      <c r="K8" s="755"/>
      <c r="L8" s="752"/>
    </row>
    <row r="9" spans="1:13" x14ac:dyDescent="0.25">
      <c r="A9" s="55" t="s">
        <v>19</v>
      </c>
      <c r="B9" s="753"/>
      <c r="C9" s="754"/>
      <c r="D9" s="753"/>
      <c r="E9" s="756"/>
      <c r="F9" s="756"/>
      <c r="G9" s="756"/>
      <c r="H9" s="754"/>
      <c r="I9" s="753" t="s">
        <v>564</v>
      </c>
      <c r="J9" s="756"/>
      <c r="K9" s="756"/>
      <c r="L9" s="754"/>
    </row>
    <row r="10" spans="1:13" x14ac:dyDescent="0.25">
      <c r="A10" s="56">
        <v>1</v>
      </c>
      <c r="B10" s="737" t="s">
        <v>101</v>
      </c>
      <c r="C10" s="737"/>
      <c r="D10" s="57"/>
      <c r="E10" s="57"/>
      <c r="F10" s="57"/>
      <c r="G10" s="57"/>
      <c r="H10" s="57"/>
      <c r="I10" s="58"/>
      <c r="J10" s="413"/>
      <c r="K10" s="413"/>
      <c r="L10" s="414"/>
    </row>
    <row r="11" spans="1:13" s="53" customFormat="1" ht="33" customHeight="1" x14ac:dyDescent="0.25">
      <c r="A11" s="393" t="s">
        <v>102</v>
      </c>
      <c r="B11" s="827" t="s">
        <v>569</v>
      </c>
      <c r="C11" s="827"/>
      <c r="D11" s="394"/>
      <c r="E11" s="394"/>
      <c r="F11" s="304">
        <f>SUM(F12:F15)</f>
        <v>986</v>
      </c>
      <c r="G11" s="417" t="s">
        <v>103</v>
      </c>
      <c r="H11" s="394"/>
      <c r="I11" s="304"/>
      <c r="J11" s="304"/>
      <c r="K11" s="304">
        <f>K12+K13</f>
        <v>180</v>
      </c>
      <c r="L11" s="417" t="s">
        <v>103</v>
      </c>
    </row>
    <row r="12" spans="1:13" x14ac:dyDescent="0.25">
      <c r="A12" s="50"/>
      <c r="B12" s="401" t="s">
        <v>523</v>
      </c>
      <c r="C12" s="401"/>
      <c r="D12" s="61"/>
      <c r="E12" s="61"/>
      <c r="F12" s="408">
        <f>29.5+3.5</f>
        <v>33</v>
      </c>
      <c r="G12" s="416" t="s">
        <v>103</v>
      </c>
      <c r="H12" s="61"/>
      <c r="I12" s="408"/>
      <c r="J12" s="408"/>
      <c r="K12" s="408">
        <v>130</v>
      </c>
      <c r="L12" s="416" t="s">
        <v>103</v>
      </c>
    </row>
    <row r="13" spans="1:13" x14ac:dyDescent="0.25">
      <c r="A13" s="50"/>
      <c r="B13" s="401" t="s">
        <v>544</v>
      </c>
      <c r="C13" s="401"/>
      <c r="D13" s="61"/>
      <c r="E13" s="61"/>
      <c r="F13" s="408">
        <f>621+83+7</f>
        <v>711</v>
      </c>
      <c r="G13" s="416" t="s">
        <v>103</v>
      </c>
      <c r="H13" s="61"/>
      <c r="I13" s="416" t="s">
        <v>570</v>
      </c>
      <c r="J13" s="408"/>
      <c r="K13" s="408">
        <v>50</v>
      </c>
      <c r="L13" s="416" t="s">
        <v>103</v>
      </c>
    </row>
    <row r="14" spans="1:13" x14ac:dyDescent="0.25">
      <c r="A14" s="50"/>
      <c r="B14" s="401" t="s">
        <v>567</v>
      </c>
      <c r="C14" s="401"/>
      <c r="D14" s="61"/>
      <c r="E14" s="61"/>
      <c r="F14" s="408">
        <f>172.5+54.5+8</f>
        <v>235</v>
      </c>
      <c r="G14" s="416" t="s">
        <v>103</v>
      </c>
      <c r="H14" s="61"/>
      <c r="I14" s="408"/>
      <c r="J14" s="408"/>
      <c r="K14" s="408"/>
      <c r="L14" s="416"/>
    </row>
    <row r="15" spans="1:13" x14ac:dyDescent="0.25">
      <c r="A15" s="50"/>
      <c r="B15" s="401" t="s">
        <v>545</v>
      </c>
      <c r="C15" s="401"/>
      <c r="D15" s="61"/>
      <c r="E15" s="61"/>
      <c r="F15" s="408">
        <v>7</v>
      </c>
      <c r="G15" s="416" t="s">
        <v>103</v>
      </c>
      <c r="H15" s="61"/>
      <c r="I15" s="408"/>
      <c r="J15" s="408"/>
      <c r="K15" s="408"/>
      <c r="L15" s="416"/>
    </row>
    <row r="16" spans="1:13" x14ac:dyDescent="0.25">
      <c r="A16" s="50"/>
      <c r="B16" s="401" t="s">
        <v>550</v>
      </c>
      <c r="C16" s="401"/>
      <c r="D16" s="61"/>
      <c r="E16" s="61"/>
      <c r="F16" s="408">
        <f>60+54.5+10</f>
        <v>124.5</v>
      </c>
      <c r="G16" s="416" t="s">
        <v>103</v>
      </c>
      <c r="H16" s="61"/>
      <c r="I16" s="408"/>
      <c r="J16" s="408" t="s">
        <v>568</v>
      </c>
      <c r="K16" s="408">
        <v>50</v>
      </c>
      <c r="L16" s="416" t="s">
        <v>103</v>
      </c>
    </row>
    <row r="17" spans="1:13" ht="33.75" customHeight="1" x14ac:dyDescent="0.25">
      <c r="A17" s="64">
        <v>2</v>
      </c>
      <c r="B17" s="741" t="s">
        <v>297</v>
      </c>
      <c r="C17" s="721"/>
      <c r="D17" s="742">
        <f>D19+D20+D21+D22</f>
        <v>51543.837172786254</v>
      </c>
      <c r="E17" s="742"/>
      <c r="F17" s="742"/>
      <c r="G17" s="742"/>
      <c r="H17" s="742"/>
      <c r="I17" s="742">
        <f>(I19+I20+I21+I22+I23+I24+I25+I26)</f>
        <v>12548.31523166744</v>
      </c>
      <c r="J17" s="742"/>
      <c r="K17" s="742"/>
      <c r="L17" s="743"/>
    </row>
    <row r="18" spans="1:13" x14ac:dyDescent="0.25">
      <c r="A18" s="65"/>
      <c r="B18" s="735" t="s">
        <v>106</v>
      </c>
      <c r="C18" s="735"/>
      <c r="D18" s="405"/>
      <c r="E18" s="736"/>
      <c r="F18" s="736"/>
      <c r="G18" s="736"/>
      <c r="H18" s="736"/>
      <c r="I18" s="736"/>
      <c r="J18" s="68"/>
      <c r="K18" s="68"/>
      <c r="L18" s="69"/>
    </row>
    <row r="19" spans="1:13" x14ac:dyDescent="0.25">
      <c r="A19" s="65"/>
      <c r="B19" s="735" t="s">
        <v>107</v>
      </c>
      <c r="C19" s="735"/>
      <c r="D19" s="736">
        <f>C38</f>
        <v>44851.406492786249</v>
      </c>
      <c r="E19" s="736"/>
      <c r="F19" s="736"/>
      <c r="G19" s="736"/>
      <c r="H19" s="736"/>
      <c r="I19" s="736">
        <f>H38</f>
        <v>10478.190339640805</v>
      </c>
      <c r="J19" s="736"/>
      <c r="K19" s="736"/>
      <c r="L19" s="773"/>
    </row>
    <row r="20" spans="1:13" x14ac:dyDescent="0.25">
      <c r="A20" s="65"/>
      <c r="B20" s="735" t="s">
        <v>108</v>
      </c>
      <c r="C20" s="735"/>
      <c r="D20" s="736">
        <f>D38</f>
        <v>0</v>
      </c>
      <c r="E20" s="736"/>
      <c r="F20" s="736"/>
      <c r="G20" s="736"/>
      <c r="H20" s="736"/>
      <c r="I20" s="736">
        <f>I34</f>
        <v>0</v>
      </c>
      <c r="J20" s="736"/>
      <c r="K20" s="736"/>
      <c r="L20" s="773"/>
    </row>
    <row r="21" spans="1:13" x14ac:dyDescent="0.25">
      <c r="A21" s="65"/>
      <c r="B21" s="735" t="s">
        <v>109</v>
      </c>
      <c r="C21" s="735"/>
      <c r="D21" s="736">
        <f>E38</f>
        <v>373.94923999999997</v>
      </c>
      <c r="E21" s="736"/>
      <c r="F21" s="736"/>
      <c r="G21" s="736"/>
      <c r="H21" s="736"/>
      <c r="I21" s="736">
        <f>J34</f>
        <v>0</v>
      </c>
      <c r="J21" s="736"/>
      <c r="K21" s="736"/>
      <c r="L21" s="773"/>
    </row>
    <row r="22" spans="1:13" x14ac:dyDescent="0.25">
      <c r="A22" s="65"/>
      <c r="B22" s="404" t="s">
        <v>110</v>
      </c>
      <c r="C22" s="404"/>
      <c r="D22" s="736">
        <f>F38</f>
        <v>6318.4814399999996</v>
      </c>
      <c r="E22" s="736"/>
      <c r="F22" s="736">
        <f>F38</f>
        <v>6318.4814399999996</v>
      </c>
      <c r="G22" s="736"/>
      <c r="H22" s="736"/>
      <c r="I22" s="736">
        <f>K38</f>
        <v>1153.4753135902636</v>
      </c>
      <c r="J22" s="736"/>
      <c r="K22" s="736"/>
      <c r="L22" s="773"/>
    </row>
    <row r="23" spans="1:13" x14ac:dyDescent="0.25">
      <c r="A23" s="65"/>
      <c r="B23" s="404" t="s">
        <v>85</v>
      </c>
      <c r="C23" s="404"/>
      <c r="D23" s="405"/>
      <c r="E23" s="405"/>
      <c r="F23" s="405"/>
      <c r="G23" s="405"/>
      <c r="H23" s="405"/>
      <c r="I23" s="736">
        <f>I19*0.015</f>
        <v>157.17285509461206</v>
      </c>
      <c r="J23" s="736"/>
      <c r="K23" s="736"/>
      <c r="L23" s="773"/>
    </row>
    <row r="24" spans="1:13" x14ac:dyDescent="0.25">
      <c r="A24" s="65"/>
      <c r="B24" s="404" t="s">
        <v>39</v>
      </c>
      <c r="C24" s="404"/>
      <c r="D24" s="405"/>
      <c r="E24" s="405"/>
      <c r="F24" s="405"/>
      <c r="G24" s="405"/>
      <c r="H24" s="405"/>
      <c r="I24" s="736">
        <f>I19*0.029</f>
        <v>303.86751984958335</v>
      </c>
      <c r="J24" s="736"/>
      <c r="K24" s="736"/>
      <c r="L24" s="773"/>
    </row>
    <row r="25" spans="1:13" x14ac:dyDescent="0.25">
      <c r="A25" s="65"/>
      <c r="B25" s="404" t="s">
        <v>40</v>
      </c>
      <c r="C25" s="404"/>
      <c r="D25" s="405"/>
      <c r="E25" s="405"/>
      <c r="F25" s="405"/>
      <c r="G25" s="405"/>
      <c r="H25" s="405"/>
      <c r="I25" s="736">
        <f>I19*0.02</f>
        <v>209.56380679281611</v>
      </c>
      <c r="J25" s="736"/>
      <c r="K25" s="736"/>
      <c r="L25" s="773"/>
    </row>
    <row r="26" spans="1:13" x14ac:dyDescent="0.25">
      <c r="A26" s="65"/>
      <c r="B26" s="404" t="s">
        <v>163</v>
      </c>
      <c r="C26" s="404"/>
      <c r="D26" s="405"/>
      <c r="E26" s="405"/>
      <c r="F26" s="405"/>
      <c r="G26" s="405"/>
      <c r="H26" s="405"/>
      <c r="I26" s="736">
        <f>(I19+I22+I23+I24+I25+I21+I20)*0.02</f>
        <v>246.04539669936159</v>
      </c>
      <c r="J26" s="736"/>
      <c r="K26" s="736"/>
      <c r="L26" s="773"/>
    </row>
    <row r="27" spans="1:13" s="578" customFormat="1" x14ac:dyDescent="0.25">
      <c r="A27" s="576"/>
      <c r="B27" s="571" t="s">
        <v>722</v>
      </c>
      <c r="C27" s="571"/>
      <c r="D27" s="562"/>
      <c r="E27" s="562"/>
      <c r="F27" s="562"/>
      <c r="G27" s="562"/>
      <c r="H27" s="562"/>
      <c r="I27" s="562"/>
      <c r="J27" s="825">
        <f>I17*M27</f>
        <v>14402.956222907887</v>
      </c>
      <c r="K27" s="825"/>
      <c r="L27" s="577"/>
      <c r="M27" s="578">
        <f>[16]МГЭ!$I$3</f>
        <v>1.1477999999999999</v>
      </c>
    </row>
    <row r="28" spans="1:13" x14ac:dyDescent="0.25">
      <c r="A28" s="65"/>
      <c r="B28" s="404"/>
      <c r="C28" s="404"/>
      <c r="D28" s="405"/>
      <c r="E28" s="405"/>
      <c r="F28" s="405"/>
      <c r="G28" s="405"/>
      <c r="H28" s="405"/>
      <c r="I28" s="405"/>
      <c r="J28" s="405"/>
      <c r="K28" s="405"/>
      <c r="L28" s="409"/>
    </row>
    <row r="29" spans="1:13" x14ac:dyDescent="0.25">
      <c r="A29" s="720" t="s">
        <v>295</v>
      </c>
      <c r="B29" s="721"/>
      <c r="C29" s="721"/>
      <c r="D29" s="721"/>
      <c r="E29" s="721"/>
      <c r="F29" s="721"/>
      <c r="G29" s="721"/>
      <c r="H29" s="721"/>
      <c r="I29" s="721"/>
      <c r="J29" s="721"/>
      <c r="K29" s="721"/>
      <c r="L29" s="722"/>
    </row>
    <row r="30" spans="1:13" ht="13.5" customHeight="1" x14ac:dyDescent="0.25">
      <c r="A30" s="723" t="s">
        <v>112</v>
      </c>
      <c r="B30" s="726" t="s">
        <v>113</v>
      </c>
      <c r="C30" s="729" t="s">
        <v>99</v>
      </c>
      <c r="D30" s="730"/>
      <c r="E30" s="730"/>
      <c r="F30" s="730"/>
      <c r="G30" s="731"/>
      <c r="H30" s="729" t="s">
        <v>100</v>
      </c>
      <c r="I30" s="730"/>
      <c r="J30" s="730"/>
      <c r="K30" s="730"/>
      <c r="L30" s="731"/>
    </row>
    <row r="31" spans="1:13" x14ac:dyDescent="0.25">
      <c r="A31" s="724"/>
      <c r="B31" s="727"/>
      <c r="C31" s="732"/>
      <c r="D31" s="733"/>
      <c r="E31" s="733"/>
      <c r="F31" s="733"/>
      <c r="G31" s="734"/>
      <c r="H31" s="732"/>
      <c r="I31" s="733"/>
      <c r="J31" s="733"/>
      <c r="K31" s="733"/>
      <c r="L31" s="734"/>
    </row>
    <row r="32" spans="1:13" x14ac:dyDescent="0.25">
      <c r="A32" s="725"/>
      <c r="B32" s="728"/>
      <c r="C32" s="72" t="s">
        <v>114</v>
      </c>
      <c r="D32" s="406" t="s">
        <v>115</v>
      </c>
      <c r="E32" s="406" t="s">
        <v>116</v>
      </c>
      <c r="F32" s="406" t="s">
        <v>13</v>
      </c>
      <c r="G32" s="407" t="s">
        <v>117</v>
      </c>
      <c r="H32" s="72" t="s">
        <v>114</v>
      </c>
      <c r="I32" s="406" t="s">
        <v>115</v>
      </c>
      <c r="J32" s="406" t="s">
        <v>116</v>
      </c>
      <c r="K32" s="406" t="s">
        <v>13</v>
      </c>
      <c r="L32" s="407" t="s">
        <v>117</v>
      </c>
    </row>
    <row r="33" spans="1:13" x14ac:dyDescent="0.25">
      <c r="A33" s="75" t="s">
        <v>118</v>
      </c>
      <c r="B33" s="76">
        <v>2</v>
      </c>
      <c r="C33" s="77">
        <v>3</v>
      </c>
      <c r="D33" s="78">
        <v>4</v>
      </c>
      <c r="E33" s="78">
        <v>5</v>
      </c>
      <c r="F33" s="78">
        <v>6</v>
      </c>
      <c r="G33" s="76">
        <v>7</v>
      </c>
      <c r="H33" s="77">
        <v>8</v>
      </c>
      <c r="I33" s="78">
        <v>9</v>
      </c>
      <c r="J33" s="78">
        <v>10</v>
      </c>
      <c r="K33" s="78">
        <v>11</v>
      </c>
      <c r="L33" s="76">
        <v>12</v>
      </c>
    </row>
    <row r="34" spans="1:13" ht="31.5" x14ac:dyDescent="0.25">
      <c r="A34" s="395">
        <v>1</v>
      </c>
      <c r="B34" s="396" t="s">
        <v>539</v>
      </c>
      <c r="C34" s="397">
        <f>(859811.97+13555.57+3042061.89+50935.81+550911.35+44493.24+153700.73+511309.81+2079+264109.74+108624.79+1661392.13+141382.49+2187166.48+14996816.48)/1000</f>
        <v>24588.351480000001</v>
      </c>
      <c r="D34" s="398">
        <v>0</v>
      </c>
      <c r="E34" s="398">
        <v>0</v>
      </c>
      <c r="F34" s="398">
        <f>(4411162.88+1801933.54+9863.59+95521.43)/1000</f>
        <v>6318.4814399999996</v>
      </c>
      <c r="G34" s="399">
        <f>F34+E34+D34+C34</f>
        <v>30906.832920000001</v>
      </c>
      <c r="H34" s="397">
        <f>C34/F11*(K13+K12)</f>
        <v>4488.745706288033</v>
      </c>
      <c r="I34" s="398">
        <f t="shared" ref="I34:J34" si="0">D34/8*4</f>
        <v>0</v>
      </c>
      <c r="J34" s="398">
        <f t="shared" si="0"/>
        <v>0</v>
      </c>
      <c r="K34" s="398">
        <f>F34/F11*(K12+K13)</f>
        <v>1153.4753135902636</v>
      </c>
      <c r="L34" s="399">
        <f>K34+J34+I34+H34</f>
        <v>5642.2210198782968</v>
      </c>
    </row>
    <row r="35" spans="1:13" ht="47.25" x14ac:dyDescent="0.25">
      <c r="A35" s="238" t="s">
        <v>120</v>
      </c>
      <c r="B35" s="239" t="s">
        <v>552</v>
      </c>
      <c r="C35" s="240">
        <f>(6877791.73+1533460.37+69007.77)/1000+(21245.73+370.96)/1000+434865.55/1000+47307.48/1000+48161.04/1000+187510.61/1000/8.9138*0.2068+575722.25/1000+217486.37/1000+(16415.74+9679.5+945.26)/1000</f>
        <v>9856.8099927862459</v>
      </c>
      <c r="D35" s="241">
        <v>0</v>
      </c>
      <c r="E35" s="241">
        <f>(342812.84+23352.3+7784.1)/1000</f>
        <v>373.94923999999997</v>
      </c>
      <c r="F35" s="241">
        <v>0</v>
      </c>
      <c r="G35" s="399">
        <f t="shared" ref="G35:G37" si="1">F35+E35+D35+C35</f>
        <v>10230.759232786246</v>
      </c>
      <c r="H35" s="240">
        <f>C35/F13*K13*3</f>
        <v>2079.4957790688286</v>
      </c>
      <c r="I35" s="241">
        <f>D35</f>
        <v>0</v>
      </c>
      <c r="J35" s="241">
        <f>E35/F13*K13*3</f>
        <v>78.892244725738379</v>
      </c>
      <c r="K35" s="241">
        <f>F35</f>
        <v>0</v>
      </c>
      <c r="L35" s="399">
        <f t="shared" ref="L35:L37" si="2">K35+J35+I35+H35</f>
        <v>2158.3880237945668</v>
      </c>
    </row>
    <row r="36" spans="1:13" x14ac:dyDescent="0.25">
      <c r="A36" s="238" t="s">
        <v>177</v>
      </c>
      <c r="B36" s="239" t="s">
        <v>547</v>
      </c>
      <c r="C36" s="240">
        <f>(4310546.2-2595717.58-349015.48-257923.42)/1000</f>
        <v>1107.8897200000001</v>
      </c>
      <c r="D36" s="241">
        <v>0</v>
      </c>
      <c r="E36" s="241">
        <v>0</v>
      </c>
      <c r="F36" s="241">
        <v>0</v>
      </c>
      <c r="G36" s="399">
        <f t="shared" si="1"/>
        <v>1107.8897200000001</v>
      </c>
      <c r="H36" s="240">
        <f>C36/(F14+F13)*50*3</f>
        <v>175.66961733615221</v>
      </c>
      <c r="I36" s="241">
        <f>D36</f>
        <v>0</v>
      </c>
      <c r="J36" s="241">
        <f>E36</f>
        <v>0</v>
      </c>
      <c r="K36" s="241">
        <f>F36</f>
        <v>0</v>
      </c>
      <c r="L36" s="399">
        <f t="shared" si="2"/>
        <v>175.66961733615221</v>
      </c>
    </row>
    <row r="37" spans="1:13" ht="31.5" x14ac:dyDescent="0.25">
      <c r="A37" s="238" t="s">
        <v>181</v>
      </c>
      <c r="B37" s="239" t="s">
        <v>553</v>
      </c>
      <c r="C37" s="240">
        <f>930781.91/1000+699952.39/1000+76676.21/10</f>
        <v>9298.3553000000011</v>
      </c>
      <c r="D37" s="241">
        <v>0</v>
      </c>
      <c r="E37" s="241">
        <v>0</v>
      </c>
      <c r="F37" s="241">
        <v>0</v>
      </c>
      <c r="G37" s="399">
        <f t="shared" si="1"/>
        <v>9298.3553000000011</v>
      </c>
      <c r="H37" s="240">
        <f>C37/F16*K16</f>
        <v>3734.2792369477911</v>
      </c>
      <c r="I37" s="241">
        <v>0</v>
      </c>
      <c r="J37" s="241">
        <v>0</v>
      </c>
      <c r="K37" s="241">
        <v>0</v>
      </c>
      <c r="L37" s="399">
        <f t="shared" si="2"/>
        <v>3734.2792369477911</v>
      </c>
    </row>
    <row r="38" spans="1:13" s="53" customFormat="1" ht="21.75" customHeight="1" x14ac:dyDescent="0.25">
      <c r="A38" s="90"/>
      <c r="B38" s="91" t="s">
        <v>122</v>
      </c>
      <c r="C38" s="92">
        <f t="shared" ref="C38:L38" si="3">SUM(C34:C37)</f>
        <v>44851.406492786249</v>
      </c>
      <c r="D38" s="93">
        <f t="shared" si="3"/>
        <v>0</v>
      </c>
      <c r="E38" s="93">
        <f t="shared" si="3"/>
        <v>373.94923999999997</v>
      </c>
      <c r="F38" s="93">
        <f t="shared" si="3"/>
        <v>6318.4814399999996</v>
      </c>
      <c r="G38" s="94">
        <f t="shared" si="3"/>
        <v>51543.837172786247</v>
      </c>
      <c r="H38" s="92">
        <f t="shared" si="3"/>
        <v>10478.190339640805</v>
      </c>
      <c r="I38" s="93">
        <f t="shared" si="3"/>
        <v>0</v>
      </c>
      <c r="J38" s="93">
        <f t="shared" si="3"/>
        <v>78.892244725738379</v>
      </c>
      <c r="K38" s="93">
        <f t="shared" si="3"/>
        <v>1153.4753135902636</v>
      </c>
      <c r="L38" s="94">
        <f t="shared" si="3"/>
        <v>11710.557897956807</v>
      </c>
    </row>
    <row r="39" spans="1:13" x14ac:dyDescent="0.25">
      <c r="A39" s="95"/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8"/>
    </row>
    <row r="40" spans="1:13" x14ac:dyDescent="0.25">
      <c r="A40" s="224" t="s">
        <v>104</v>
      </c>
      <c r="B40" s="411" t="s">
        <v>571</v>
      </c>
      <c r="C40" s="411"/>
      <c r="D40" s="418"/>
      <c r="E40" s="418"/>
      <c r="F40" s="420">
        <v>63</v>
      </c>
      <c r="G40" s="421" t="s">
        <v>103</v>
      </c>
      <c r="H40" s="421"/>
      <c r="I40" s="421"/>
      <c r="J40" s="421">
        <v>50</v>
      </c>
      <c r="K40" s="421" t="s">
        <v>103</v>
      </c>
      <c r="L40" s="419"/>
      <c r="M40" s="140"/>
    </row>
    <row r="41" spans="1:13" ht="33.75" customHeight="1" x14ac:dyDescent="0.25">
      <c r="A41" s="64">
        <v>2</v>
      </c>
      <c r="B41" s="741" t="s">
        <v>287</v>
      </c>
      <c r="C41" s="721"/>
      <c r="D41" s="742">
        <f>D43+D44+D45+D46</f>
        <v>7714.9210200000007</v>
      </c>
      <c r="E41" s="742"/>
      <c r="F41" s="742"/>
      <c r="G41" s="742"/>
      <c r="H41" s="742"/>
      <c r="I41" s="742">
        <f>(I43+I44+I45+I46+I47+I48+I49+I50)</f>
        <v>6733.9205293266668</v>
      </c>
      <c r="J41" s="742"/>
      <c r="K41" s="742"/>
      <c r="L41" s="743"/>
      <c r="M41" s="140"/>
    </row>
    <row r="42" spans="1:13" x14ac:dyDescent="0.25">
      <c r="A42" s="65"/>
      <c r="B42" s="735" t="s">
        <v>106</v>
      </c>
      <c r="C42" s="735"/>
      <c r="D42" s="405"/>
      <c r="E42" s="736"/>
      <c r="F42" s="736"/>
      <c r="G42" s="736"/>
      <c r="H42" s="736"/>
      <c r="I42" s="736"/>
      <c r="J42" s="68"/>
      <c r="K42" s="68"/>
      <c r="L42" s="69"/>
      <c r="M42" s="140"/>
    </row>
    <row r="43" spans="1:13" x14ac:dyDescent="0.25">
      <c r="A43" s="65"/>
      <c r="B43" s="735" t="s">
        <v>107</v>
      </c>
      <c r="C43" s="735"/>
      <c r="D43" s="736">
        <f>C61</f>
        <v>7695.0844100000004</v>
      </c>
      <c r="E43" s="736"/>
      <c r="F43" s="736"/>
      <c r="G43" s="736"/>
      <c r="H43" s="736"/>
      <c r="I43" s="736">
        <f>H61</f>
        <v>6107.2098492063496</v>
      </c>
      <c r="J43" s="736"/>
      <c r="K43" s="736"/>
      <c r="L43" s="773"/>
      <c r="M43" s="140"/>
    </row>
    <row r="44" spans="1:13" x14ac:dyDescent="0.25">
      <c r="A44" s="65"/>
      <c r="B44" s="735" t="s">
        <v>108</v>
      </c>
      <c r="C44" s="735"/>
      <c r="D44" s="736">
        <f>D61</f>
        <v>0</v>
      </c>
      <c r="E44" s="736"/>
      <c r="F44" s="736"/>
      <c r="G44" s="736"/>
      <c r="H44" s="736"/>
      <c r="I44" s="736">
        <f>I61</f>
        <v>0</v>
      </c>
      <c r="J44" s="736"/>
      <c r="K44" s="736"/>
      <c r="L44" s="773"/>
      <c r="M44" s="140"/>
    </row>
    <row r="45" spans="1:13" x14ac:dyDescent="0.25">
      <c r="A45" s="65"/>
      <c r="B45" s="735" t="s">
        <v>109</v>
      </c>
      <c r="C45" s="735"/>
      <c r="D45" s="736">
        <f>E61</f>
        <v>0</v>
      </c>
      <c r="E45" s="736"/>
      <c r="F45" s="736"/>
      <c r="G45" s="736"/>
      <c r="H45" s="736"/>
      <c r="I45" s="736">
        <f>J61</f>
        <v>0</v>
      </c>
      <c r="J45" s="736"/>
      <c r="K45" s="736"/>
      <c r="L45" s="773"/>
      <c r="M45" s="140"/>
    </row>
    <row r="46" spans="1:13" x14ac:dyDescent="0.25">
      <c r="A46" s="65"/>
      <c r="B46" s="404" t="s">
        <v>110</v>
      </c>
      <c r="C46" s="404"/>
      <c r="D46" s="736">
        <f>F61</f>
        <v>19.83661</v>
      </c>
      <c r="E46" s="736"/>
      <c r="F46" s="736">
        <f>F63</f>
        <v>0</v>
      </c>
      <c r="G46" s="736"/>
      <c r="H46" s="736"/>
      <c r="I46" s="736">
        <f>K61</f>
        <v>103.81159233333334</v>
      </c>
      <c r="J46" s="736"/>
      <c r="K46" s="736"/>
      <c r="L46" s="773"/>
      <c r="M46" s="140"/>
    </row>
    <row r="47" spans="1:13" x14ac:dyDescent="0.25">
      <c r="A47" s="65"/>
      <c r="B47" s="404" t="s">
        <v>85</v>
      </c>
      <c r="C47" s="404"/>
      <c r="D47" s="405"/>
      <c r="E47" s="405"/>
      <c r="F47" s="405"/>
      <c r="G47" s="405"/>
      <c r="H47" s="405"/>
      <c r="I47" s="736">
        <f>I43*0.015</f>
        <v>91.608147738095241</v>
      </c>
      <c r="J47" s="736"/>
      <c r="K47" s="736"/>
      <c r="L47" s="773"/>
    </row>
    <row r="48" spans="1:13" x14ac:dyDescent="0.25">
      <c r="A48" s="65"/>
      <c r="B48" s="404" t="s">
        <v>39</v>
      </c>
      <c r="C48" s="404"/>
      <c r="D48" s="405"/>
      <c r="E48" s="405"/>
      <c r="F48" s="405"/>
      <c r="G48" s="405"/>
      <c r="H48" s="405"/>
      <c r="I48" s="736">
        <f>I43*0.029</f>
        <v>177.10908562698415</v>
      </c>
      <c r="J48" s="736"/>
      <c r="K48" s="736"/>
      <c r="L48" s="773"/>
    </row>
    <row r="49" spans="1:14" x14ac:dyDescent="0.25">
      <c r="A49" s="65"/>
      <c r="B49" s="404" t="s">
        <v>40</v>
      </c>
      <c r="C49" s="404"/>
      <c r="D49" s="405"/>
      <c r="E49" s="405"/>
      <c r="F49" s="405"/>
      <c r="G49" s="405"/>
      <c r="H49" s="405"/>
      <c r="I49" s="736">
        <f>I43*0.02</f>
        <v>122.14419698412699</v>
      </c>
      <c r="J49" s="736"/>
      <c r="K49" s="736"/>
      <c r="L49" s="773"/>
    </row>
    <row r="50" spans="1:14" x14ac:dyDescent="0.25">
      <c r="A50" s="65"/>
      <c r="B50" s="404" t="s">
        <v>163</v>
      </c>
      <c r="C50" s="404"/>
      <c r="D50" s="405"/>
      <c r="E50" s="405"/>
      <c r="F50" s="405"/>
      <c r="G50" s="405"/>
      <c r="H50" s="405"/>
      <c r="I50" s="736">
        <f>(I43+I46+I47+I48+I49+I45+I44)*0.02</f>
        <v>132.0376574377778</v>
      </c>
      <c r="J50" s="736"/>
      <c r="K50" s="736"/>
      <c r="L50" s="773"/>
    </row>
    <row r="51" spans="1:14" s="578" customFormat="1" x14ac:dyDescent="0.25">
      <c r="A51" s="576"/>
      <c r="B51" s="571" t="s">
        <v>727</v>
      </c>
      <c r="C51" s="571"/>
      <c r="D51" s="600"/>
      <c r="E51" s="600"/>
      <c r="F51" s="600"/>
      <c r="G51" s="600"/>
      <c r="H51" s="600"/>
      <c r="I51" s="600"/>
      <c r="J51" s="825">
        <f>I41*1.2059</f>
        <v>8120.4347663150274</v>
      </c>
      <c r="K51" s="825"/>
      <c r="L51" s="577"/>
      <c r="M51" s="578">
        <v>1.2059</v>
      </c>
    </row>
    <row r="52" spans="1:14" x14ac:dyDescent="0.25">
      <c r="A52" s="65"/>
      <c r="B52" s="735" t="s">
        <v>274</v>
      </c>
      <c r="C52" s="735"/>
      <c r="D52" s="787"/>
      <c r="E52" s="787"/>
      <c r="F52" s="787"/>
      <c r="G52" s="787"/>
      <c r="H52" s="787"/>
      <c r="I52" s="209"/>
      <c r="J52" s="209"/>
      <c r="K52" s="211"/>
      <c r="L52" s="210"/>
      <c r="M52" s="140"/>
    </row>
    <row r="53" spans="1:14" x14ac:dyDescent="0.25">
      <c r="A53" s="65"/>
      <c r="B53" s="404"/>
      <c r="C53" s="404"/>
      <c r="D53" s="410"/>
      <c r="E53" s="410"/>
      <c r="F53" s="410"/>
      <c r="G53" s="410"/>
      <c r="H53" s="410"/>
      <c r="I53" s="209"/>
      <c r="J53" s="209"/>
      <c r="K53" s="211"/>
      <c r="L53" s="210"/>
      <c r="M53" s="140"/>
    </row>
    <row r="54" spans="1:14" s="207" customFormat="1" x14ac:dyDescent="0.25">
      <c r="A54" s="812" t="s">
        <v>282</v>
      </c>
      <c r="B54" s="738"/>
      <c r="C54" s="738"/>
      <c r="D54" s="738"/>
      <c r="E54" s="738"/>
      <c r="F54" s="738"/>
      <c r="G54" s="738"/>
      <c r="H54" s="738"/>
      <c r="I54" s="738"/>
      <c r="J54" s="738"/>
      <c r="K54" s="738"/>
      <c r="L54" s="813"/>
      <c r="M54" s="206"/>
    </row>
    <row r="55" spans="1:14" x14ac:dyDescent="0.25">
      <c r="A55" s="723" t="s">
        <v>112</v>
      </c>
      <c r="B55" s="726" t="s">
        <v>113</v>
      </c>
      <c r="C55" s="729" t="s">
        <v>99</v>
      </c>
      <c r="D55" s="730"/>
      <c r="E55" s="730"/>
      <c r="F55" s="730"/>
      <c r="G55" s="731"/>
      <c r="H55" s="729" t="s">
        <v>100</v>
      </c>
      <c r="I55" s="730"/>
      <c r="J55" s="730"/>
      <c r="K55" s="730"/>
      <c r="L55" s="731"/>
      <c r="M55" s="140"/>
    </row>
    <row r="56" spans="1:14" x14ac:dyDescent="0.25">
      <c r="A56" s="724"/>
      <c r="B56" s="727"/>
      <c r="C56" s="732"/>
      <c r="D56" s="733"/>
      <c r="E56" s="733"/>
      <c r="F56" s="733"/>
      <c r="G56" s="734"/>
      <c r="H56" s="732">
        <f>H16</f>
        <v>0</v>
      </c>
      <c r="I56" s="733"/>
      <c r="J56" s="733"/>
      <c r="K56" s="733"/>
      <c r="L56" s="734"/>
      <c r="M56" s="140"/>
    </row>
    <row r="57" spans="1:14" x14ac:dyDescent="0.25">
      <c r="A57" s="725"/>
      <c r="B57" s="728"/>
      <c r="C57" s="72" t="s">
        <v>114</v>
      </c>
      <c r="D57" s="406" t="s">
        <v>115</v>
      </c>
      <c r="E57" s="406" t="s">
        <v>116</v>
      </c>
      <c r="F57" s="406" t="s">
        <v>13</v>
      </c>
      <c r="G57" s="407" t="s">
        <v>117</v>
      </c>
      <c r="H57" s="72" t="s">
        <v>114</v>
      </c>
      <c r="I57" s="406" t="s">
        <v>115</v>
      </c>
      <c r="J57" s="406" t="s">
        <v>116</v>
      </c>
      <c r="K57" s="406" t="s">
        <v>13</v>
      </c>
      <c r="L57" s="407" t="s">
        <v>117</v>
      </c>
      <c r="M57" s="140"/>
    </row>
    <row r="58" spans="1:14" x14ac:dyDescent="0.25">
      <c r="A58" s="75" t="s">
        <v>118</v>
      </c>
      <c r="B58" s="76">
        <v>2</v>
      </c>
      <c r="C58" s="77">
        <v>3</v>
      </c>
      <c r="D58" s="78">
        <v>4</v>
      </c>
      <c r="E58" s="78">
        <v>5</v>
      </c>
      <c r="F58" s="78">
        <v>6</v>
      </c>
      <c r="G58" s="76">
        <v>7</v>
      </c>
      <c r="H58" s="77">
        <v>8</v>
      </c>
      <c r="I58" s="78">
        <v>9</v>
      </c>
      <c r="J58" s="78">
        <v>10</v>
      </c>
      <c r="K58" s="78">
        <v>11</v>
      </c>
      <c r="L58" s="76">
        <v>12</v>
      </c>
      <c r="M58" s="140"/>
    </row>
    <row r="59" spans="1:14" ht="45" customHeight="1" x14ac:dyDescent="0.25">
      <c r="A59" s="75" t="s">
        <v>118</v>
      </c>
      <c r="B59" s="223" t="s">
        <v>283</v>
      </c>
      <c r="C59" s="192">
        <f>7695084.41/1000</f>
        <v>7695.0844100000004</v>
      </c>
      <c r="D59" s="193">
        <v>0</v>
      </c>
      <c r="E59" s="193">
        <v>0</v>
      </c>
      <c r="F59" s="193">
        <v>0</v>
      </c>
      <c r="G59" s="92">
        <f t="shared" ref="G59:G60" si="4">F59+E59+D59+C59</f>
        <v>7695.0844100000004</v>
      </c>
      <c r="H59" s="194">
        <f>C59/63*50</f>
        <v>6107.2098492063496</v>
      </c>
      <c r="I59" s="193">
        <v>0</v>
      </c>
      <c r="J59" s="193">
        <v>0</v>
      </c>
      <c r="K59" s="193">
        <v>0</v>
      </c>
      <c r="L59" s="92">
        <f t="shared" ref="L59:L60" si="5">K59+J59+I59+H59</f>
        <v>6107.2098492063496</v>
      </c>
      <c r="M59" s="195"/>
    </row>
    <row r="60" spans="1:14" ht="31.5" x14ac:dyDescent="0.25">
      <c r="A60" s="75" t="s">
        <v>172</v>
      </c>
      <c r="B60" s="223" t="s">
        <v>284</v>
      </c>
      <c r="C60" s="192">
        <v>0</v>
      </c>
      <c r="D60" s="193"/>
      <c r="E60" s="193"/>
      <c r="F60" s="193">
        <f>(16837.31+2999.3)/1000</f>
        <v>19.83661</v>
      </c>
      <c r="G60" s="92">
        <f t="shared" si="4"/>
        <v>19.83661</v>
      </c>
      <c r="H60" s="194">
        <v>0</v>
      </c>
      <c r="I60" s="193"/>
      <c r="J60" s="193"/>
      <c r="K60" s="193">
        <f>(16837.31+2999.3)/30*157/1000</f>
        <v>103.81159233333334</v>
      </c>
      <c r="L60" s="92">
        <f t="shared" si="5"/>
        <v>103.81159233333334</v>
      </c>
      <c r="M60" s="195">
        <f>3.14*1*50</f>
        <v>157</v>
      </c>
      <c r="N60" s="49" t="s">
        <v>572</v>
      </c>
    </row>
    <row r="61" spans="1:14" x14ac:dyDescent="0.25">
      <c r="A61" s="90"/>
      <c r="B61" s="91" t="s">
        <v>122</v>
      </c>
      <c r="C61" s="92">
        <f t="shared" ref="C61:L61" si="6">C59+C60</f>
        <v>7695.0844100000004</v>
      </c>
      <c r="D61" s="92">
        <f t="shared" si="6"/>
        <v>0</v>
      </c>
      <c r="E61" s="92">
        <f t="shared" si="6"/>
        <v>0</v>
      </c>
      <c r="F61" s="92">
        <f t="shared" si="6"/>
        <v>19.83661</v>
      </c>
      <c r="G61" s="92">
        <f t="shared" si="6"/>
        <v>7714.9210200000007</v>
      </c>
      <c r="H61" s="92">
        <f t="shared" si="6"/>
        <v>6107.2098492063496</v>
      </c>
      <c r="I61" s="92">
        <f t="shared" si="6"/>
        <v>0</v>
      </c>
      <c r="J61" s="92">
        <f t="shared" si="6"/>
        <v>0</v>
      </c>
      <c r="K61" s="92">
        <f t="shared" si="6"/>
        <v>103.81159233333334</v>
      </c>
      <c r="L61" s="92">
        <f t="shared" si="6"/>
        <v>6211.0214415396831</v>
      </c>
      <c r="M61" s="140"/>
    </row>
    <row r="63" spans="1:14" s="53" customFormat="1" x14ac:dyDescent="0.25">
      <c r="A63" s="422"/>
      <c r="B63" s="53" t="s">
        <v>573</v>
      </c>
      <c r="C63" s="53">
        <f>130+50+50</f>
        <v>230</v>
      </c>
      <c r="D63" s="53" t="s">
        <v>103</v>
      </c>
      <c r="H63" s="245">
        <f>L63/C63</f>
        <v>77.91991017172387</v>
      </c>
      <c r="L63" s="423">
        <f>L61+L38</f>
        <v>17921.579339496489</v>
      </c>
    </row>
    <row r="64" spans="1:14" x14ac:dyDescent="0.25">
      <c r="D64" s="100"/>
    </row>
    <row r="65" spans="1:5" x14ac:dyDescent="0.25">
      <c r="D65" s="100"/>
    </row>
    <row r="66" spans="1:5" x14ac:dyDescent="0.25">
      <c r="D66" s="100"/>
    </row>
    <row r="67" spans="1:5" x14ac:dyDescent="0.25">
      <c r="D67" s="100"/>
    </row>
    <row r="68" spans="1:5" x14ac:dyDescent="0.25">
      <c r="A68" s="392"/>
      <c r="D68" s="100"/>
      <c r="E68" s="100"/>
    </row>
    <row r="69" spans="1:5" x14ac:dyDescent="0.25">
      <c r="A69" s="392"/>
      <c r="B69" s="49" t="s">
        <v>546</v>
      </c>
      <c r="D69" s="100"/>
      <c r="E69" s="100"/>
    </row>
    <row r="70" spans="1:5" x14ac:dyDescent="0.25">
      <c r="A70" s="392"/>
      <c r="B70" s="49" t="s">
        <v>529</v>
      </c>
      <c r="D70" s="100"/>
      <c r="E70" s="100"/>
    </row>
    <row r="71" spans="1:5" x14ac:dyDescent="0.25">
      <c r="A71" s="392" t="s">
        <v>525</v>
      </c>
      <c r="B71" s="49" t="s">
        <v>523</v>
      </c>
      <c r="C71" s="49" t="s">
        <v>103</v>
      </c>
      <c r="D71" s="100">
        <v>29.5</v>
      </c>
      <c r="E71" s="100"/>
    </row>
    <row r="72" spans="1:5" x14ac:dyDescent="0.25">
      <c r="A72" s="392" t="s">
        <v>537</v>
      </c>
      <c r="B72" s="49" t="s">
        <v>524</v>
      </c>
      <c r="C72" s="49" t="s">
        <v>103</v>
      </c>
      <c r="D72" s="100">
        <f>621+83</f>
        <v>704</v>
      </c>
      <c r="E72" s="100"/>
    </row>
    <row r="73" spans="1:5" x14ac:dyDescent="0.25">
      <c r="A73" s="392" t="s">
        <v>538</v>
      </c>
      <c r="B73" s="49" t="s">
        <v>526</v>
      </c>
      <c r="C73" s="49" t="s">
        <v>103</v>
      </c>
      <c r="D73" s="100">
        <f>172.5+54.5</f>
        <v>227</v>
      </c>
      <c r="E73" s="100"/>
    </row>
    <row r="74" spans="1:5" x14ac:dyDescent="0.25">
      <c r="A74" s="392" t="s">
        <v>528</v>
      </c>
      <c r="B74" s="49" t="s">
        <v>527</v>
      </c>
      <c r="C74" s="49" t="s">
        <v>103</v>
      </c>
      <c r="D74" s="100">
        <v>8</v>
      </c>
      <c r="E74" s="100"/>
    </row>
    <row r="75" spans="1:5" x14ac:dyDescent="0.25">
      <c r="A75" s="392"/>
      <c r="B75" s="49" t="s">
        <v>530</v>
      </c>
      <c r="D75" s="100"/>
      <c r="E75" s="100"/>
    </row>
    <row r="76" spans="1:5" x14ac:dyDescent="0.25">
      <c r="A76" s="392" t="s">
        <v>531</v>
      </c>
      <c r="B76" s="49" t="s">
        <v>523</v>
      </c>
      <c r="C76" s="49" t="s">
        <v>103</v>
      </c>
      <c r="D76" s="100">
        <v>3.5</v>
      </c>
      <c r="E76" s="100"/>
    </row>
    <row r="77" spans="1:5" x14ac:dyDescent="0.25">
      <c r="A77" s="392" t="s">
        <v>533</v>
      </c>
      <c r="B77" s="49" t="s">
        <v>532</v>
      </c>
      <c r="C77" s="49" t="s">
        <v>103</v>
      </c>
      <c r="D77" s="100">
        <v>7</v>
      </c>
      <c r="E77" s="100"/>
    </row>
    <row r="78" spans="1:5" x14ac:dyDescent="0.25">
      <c r="A78" s="392"/>
      <c r="B78" s="49" t="s">
        <v>534</v>
      </c>
      <c r="D78" s="100"/>
      <c r="E78" s="100"/>
    </row>
    <row r="79" spans="1:5" x14ac:dyDescent="0.25">
      <c r="A79" s="392" t="s">
        <v>535</v>
      </c>
      <c r="B79" s="49" t="s">
        <v>536</v>
      </c>
      <c r="C79" s="49" t="s">
        <v>103</v>
      </c>
      <c r="D79" s="100">
        <v>7</v>
      </c>
    </row>
    <row r="80" spans="1:5" x14ac:dyDescent="0.25">
      <c r="A80" s="392"/>
      <c r="D80" s="100"/>
    </row>
    <row r="81" spans="1:1" x14ac:dyDescent="0.25">
      <c r="A81" s="392"/>
    </row>
    <row r="82" spans="1:1" x14ac:dyDescent="0.25">
      <c r="A82" s="392"/>
    </row>
    <row r="83" spans="1:1" x14ac:dyDescent="0.25">
      <c r="A83" s="392"/>
    </row>
    <row r="84" spans="1:1" x14ac:dyDescent="0.25">
      <c r="A84" s="392"/>
    </row>
    <row r="85" spans="1:1" x14ac:dyDescent="0.25">
      <c r="A85" s="392"/>
    </row>
    <row r="86" spans="1:1" x14ac:dyDescent="0.25">
      <c r="A86" s="392"/>
    </row>
    <row r="87" spans="1:1" x14ac:dyDescent="0.25">
      <c r="A87" s="392"/>
    </row>
  </sheetData>
  <mergeCells count="70">
    <mergeCell ref="A55:A57"/>
    <mergeCell ref="B55:B57"/>
    <mergeCell ref="C55:G55"/>
    <mergeCell ref="H55:L55"/>
    <mergeCell ref="C56:G56"/>
    <mergeCell ref="H56:L56"/>
    <mergeCell ref="A54:L54"/>
    <mergeCell ref="J51:K51"/>
    <mergeCell ref="B45:C45"/>
    <mergeCell ref="D45:H45"/>
    <mergeCell ref="I45:L45"/>
    <mergeCell ref="D46:H46"/>
    <mergeCell ref="I46:L46"/>
    <mergeCell ref="I47:L47"/>
    <mergeCell ref="I48:L48"/>
    <mergeCell ref="I49:L49"/>
    <mergeCell ref="I50:L50"/>
    <mergeCell ref="B52:C52"/>
    <mergeCell ref="D52:H52"/>
    <mergeCell ref="I23:L23"/>
    <mergeCell ref="B19:C19"/>
    <mergeCell ref="D19:H19"/>
    <mergeCell ref="I19:L19"/>
    <mergeCell ref="B44:C44"/>
    <mergeCell ref="D44:H44"/>
    <mergeCell ref="I44:L44"/>
    <mergeCell ref="H31:L31"/>
    <mergeCell ref="B41:C41"/>
    <mergeCell ref="D41:H41"/>
    <mergeCell ref="I41:L41"/>
    <mergeCell ref="B42:C42"/>
    <mergeCell ref="E42:I42"/>
    <mergeCell ref="B43:C43"/>
    <mergeCell ref="D43:H43"/>
    <mergeCell ref="I43:L43"/>
    <mergeCell ref="I24:L24"/>
    <mergeCell ref="I25:L25"/>
    <mergeCell ref="I26:L26"/>
    <mergeCell ref="J27:K27"/>
    <mergeCell ref="A29:L29"/>
    <mergeCell ref="A30:A32"/>
    <mergeCell ref="B30:B32"/>
    <mergeCell ref="C30:G30"/>
    <mergeCell ref="H30:L30"/>
    <mergeCell ref="C31:G31"/>
    <mergeCell ref="D22:H22"/>
    <mergeCell ref="I22:L22"/>
    <mergeCell ref="B10:C10"/>
    <mergeCell ref="B11:C11"/>
    <mergeCell ref="B17:C17"/>
    <mergeCell ref="D17:H17"/>
    <mergeCell ref="I17:L17"/>
    <mergeCell ref="B20:C20"/>
    <mergeCell ref="D20:H20"/>
    <mergeCell ref="I20:L20"/>
    <mergeCell ref="B21:C21"/>
    <mergeCell ref="D21:H21"/>
    <mergeCell ref="I21:L21"/>
    <mergeCell ref="B18:C18"/>
    <mergeCell ref="E18:I18"/>
    <mergeCell ref="A1:L1"/>
    <mergeCell ref="A3:L3"/>
    <mergeCell ref="A4:L4"/>
    <mergeCell ref="B6:L6"/>
    <mergeCell ref="B8:C9"/>
    <mergeCell ref="D8:H8"/>
    <mergeCell ref="I8:L8"/>
    <mergeCell ref="D9:H9"/>
    <mergeCell ref="I9:L9"/>
    <mergeCell ref="B7:L7"/>
  </mergeCells>
  <pageMargins left="0.39370078740157483" right="0.39370078740157483" top="0.59055118110236227" bottom="0.39370078740157483" header="0" footer="0"/>
  <pageSetup paperSize="9" scale="75" fitToHeight="10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pageSetUpPr fitToPage="1"/>
  </sheetPr>
  <dimension ref="A1:L180"/>
  <sheetViews>
    <sheetView view="pageBreakPreview" topLeftCell="A97" zoomScale="90" zoomScaleNormal="100" zoomScaleSheetLayoutView="90" workbookViewId="0">
      <selection activeCell="A165" sqref="A164:H165"/>
    </sheetView>
  </sheetViews>
  <sheetFormatPr defaultColWidth="9.140625" defaultRowHeight="15" outlineLevelCol="1" x14ac:dyDescent="0.25"/>
  <cols>
    <col min="1" max="1" width="35.85546875" style="311" customWidth="1"/>
    <col min="2" max="2" width="17.140625" style="311" customWidth="1"/>
    <col min="3" max="3" width="12.5703125" style="311" customWidth="1"/>
    <col min="4" max="4" width="20.140625" style="311" customWidth="1"/>
    <col min="5" max="5" width="19.5703125" style="311" customWidth="1"/>
    <col min="6" max="7" width="19.5703125" style="311" hidden="1" customWidth="1" outlineLevel="1"/>
    <col min="8" max="8" width="20.140625" style="311" customWidth="1" collapsed="1"/>
    <col min="9" max="9" width="22.85546875" style="311" customWidth="1"/>
    <col min="10" max="10" width="16.5703125" style="311" customWidth="1"/>
    <col min="11" max="11" width="10.7109375" style="311" customWidth="1"/>
    <col min="12" max="16384" width="9.140625" style="311"/>
  </cols>
  <sheetData>
    <row r="1" spans="1:9" ht="18.75" x14ac:dyDescent="0.25">
      <c r="A1" s="704" t="s">
        <v>473</v>
      </c>
      <c r="B1" s="704"/>
      <c r="C1" s="704"/>
      <c r="D1" s="704"/>
      <c r="E1" s="704"/>
      <c r="F1" s="704"/>
      <c r="G1" s="704"/>
      <c r="H1" s="704"/>
    </row>
    <row r="2" spans="1:9" x14ac:dyDescent="0.25">
      <c r="A2" s="704" t="s">
        <v>474</v>
      </c>
      <c r="B2" s="705"/>
      <c r="C2" s="705"/>
      <c r="D2" s="705"/>
      <c r="E2" s="705"/>
      <c r="F2" s="705"/>
      <c r="G2" s="705"/>
      <c r="H2" s="705"/>
      <c r="I2" s="566"/>
    </row>
    <row r="3" spans="1:9" ht="38.25" customHeight="1" x14ac:dyDescent="0.25">
      <c r="A3" s="706" t="s">
        <v>758</v>
      </c>
      <c r="B3" s="706"/>
      <c r="C3" s="706"/>
      <c r="D3" s="706"/>
      <c r="E3" s="706"/>
      <c r="F3" s="706"/>
      <c r="G3" s="706"/>
      <c r="H3" s="706"/>
    </row>
    <row r="4" spans="1:9" ht="125.25" customHeight="1" x14ac:dyDescent="0.25">
      <c r="A4" s="707"/>
      <c r="B4" s="707"/>
      <c r="C4" s="707"/>
      <c r="D4" s="707"/>
      <c r="E4" s="707"/>
      <c r="F4" s="707"/>
      <c r="G4" s="707"/>
      <c r="H4" s="707"/>
    </row>
    <row r="5" spans="1:9" s="334" customFormat="1" ht="17.25" customHeight="1" x14ac:dyDescent="0.2">
      <c r="A5" s="708" t="s">
        <v>684</v>
      </c>
      <c r="B5" s="709"/>
      <c r="C5" s="709"/>
      <c r="D5" s="709"/>
      <c r="E5" s="709"/>
      <c r="F5" s="709"/>
      <c r="G5" s="709"/>
      <c r="H5" s="709"/>
    </row>
    <row r="6" spans="1:9" s="334" customFormat="1" ht="17.25" customHeight="1" x14ac:dyDescent="0.35">
      <c r="A6" s="692" t="s">
        <v>759</v>
      </c>
      <c r="B6" s="693"/>
      <c r="C6" s="693"/>
      <c r="D6" s="693"/>
      <c r="E6" s="693"/>
      <c r="F6" s="693"/>
      <c r="G6" s="693"/>
      <c r="H6" s="693"/>
      <c r="I6" s="598"/>
    </row>
    <row r="7" spans="1:9" s="334" customFormat="1" ht="17.25" customHeight="1" x14ac:dyDescent="0.2">
      <c r="A7" s="542" t="s">
        <v>760</v>
      </c>
      <c r="B7" s="525"/>
      <c r="C7" s="525"/>
      <c r="D7" s="525"/>
      <c r="E7" s="525"/>
      <c r="F7" s="525"/>
      <c r="G7" s="525"/>
      <c r="H7" s="525"/>
    </row>
    <row r="8" spans="1:9" s="541" customFormat="1" ht="17.25" customHeight="1" x14ac:dyDescent="0.2">
      <c r="A8" s="702" t="s">
        <v>761</v>
      </c>
      <c r="B8" s="703"/>
      <c r="C8" s="703"/>
      <c r="D8" s="703"/>
      <c r="E8" s="703"/>
      <c r="F8" s="703"/>
      <c r="G8" s="703"/>
      <c r="H8" s="703"/>
    </row>
    <row r="9" spans="1:9" s="334" customFormat="1" ht="17.25" customHeight="1" x14ac:dyDescent="0.2">
      <c r="A9" s="692" t="s">
        <v>681</v>
      </c>
      <c r="B9" s="693"/>
      <c r="C9" s="693"/>
      <c r="D9" s="693"/>
      <c r="E9" s="693"/>
      <c r="F9" s="693"/>
      <c r="G9" s="693"/>
      <c r="H9" s="693"/>
    </row>
    <row r="10" spans="1:9" s="334" customFormat="1" ht="17.25" customHeight="1" x14ac:dyDescent="0.2">
      <c r="A10" s="692" t="s">
        <v>682</v>
      </c>
      <c r="B10" s="693"/>
      <c r="C10" s="693"/>
      <c r="D10" s="693"/>
      <c r="E10" s="693"/>
      <c r="F10" s="693"/>
      <c r="G10" s="693"/>
      <c r="H10" s="693"/>
    </row>
    <row r="11" spans="1:9" s="334" customFormat="1" ht="17.25" customHeight="1" x14ac:dyDescent="0.2">
      <c r="A11" s="692" t="s">
        <v>683</v>
      </c>
      <c r="B11" s="693"/>
      <c r="C11" s="693"/>
      <c r="D11" s="693"/>
      <c r="E11" s="693"/>
      <c r="F11" s="693"/>
      <c r="G11" s="693"/>
      <c r="H11" s="693"/>
    </row>
    <row r="12" spans="1:9" s="541" customFormat="1" ht="15" customHeight="1" x14ac:dyDescent="0.2">
      <c r="A12" s="539" t="s">
        <v>762</v>
      </c>
      <c r="B12" s="540"/>
      <c r="C12" s="540"/>
      <c r="D12" s="540"/>
      <c r="E12" s="540"/>
      <c r="F12" s="540"/>
      <c r="G12" s="540"/>
      <c r="H12" s="540"/>
    </row>
    <row r="13" spans="1:9" s="334" customFormat="1" ht="17.25" customHeight="1" x14ac:dyDescent="0.2">
      <c r="A13" s="692" t="s">
        <v>768</v>
      </c>
      <c r="B13" s="693"/>
      <c r="C13" s="693"/>
      <c r="D13" s="693"/>
      <c r="E13" s="693"/>
      <c r="F13" s="693"/>
      <c r="G13" s="693"/>
      <c r="H13" s="693"/>
    </row>
    <row r="14" spans="1:9" s="334" customFormat="1" ht="17.25" customHeight="1" x14ac:dyDescent="0.2">
      <c r="A14" s="692" t="s">
        <v>768</v>
      </c>
      <c r="B14" s="693"/>
      <c r="C14" s="693"/>
      <c r="D14" s="693"/>
      <c r="E14" s="693"/>
      <c r="F14" s="693"/>
      <c r="G14" s="693"/>
      <c r="H14" s="693"/>
    </row>
    <row r="15" spans="1:9" s="334" customFormat="1" ht="17.25" customHeight="1" x14ac:dyDescent="0.2">
      <c r="A15" s="692" t="s">
        <v>768</v>
      </c>
      <c r="B15" s="693"/>
      <c r="C15" s="693"/>
      <c r="D15" s="693"/>
      <c r="E15" s="693"/>
      <c r="F15" s="693"/>
      <c r="G15" s="693"/>
      <c r="H15" s="693"/>
    </row>
    <row r="16" spans="1:9" s="334" customFormat="1" ht="17.25" customHeight="1" x14ac:dyDescent="0.2">
      <c r="A16" s="692" t="s">
        <v>768</v>
      </c>
      <c r="B16" s="693"/>
      <c r="C16" s="693"/>
      <c r="D16" s="693"/>
      <c r="E16" s="693"/>
      <c r="F16" s="693"/>
      <c r="G16" s="693"/>
      <c r="H16" s="693"/>
    </row>
    <row r="17" spans="1:10" s="334" customFormat="1" ht="17.25" customHeight="1" x14ac:dyDescent="0.2">
      <c r="A17" s="692" t="s">
        <v>768</v>
      </c>
      <c r="B17" s="693"/>
      <c r="C17" s="693"/>
      <c r="D17" s="693"/>
      <c r="E17" s="693"/>
      <c r="F17" s="693"/>
      <c r="G17" s="693"/>
      <c r="H17" s="693"/>
    </row>
    <row r="18" spans="1:10" s="334" customFormat="1" ht="17.25" customHeight="1" x14ac:dyDescent="0.2">
      <c r="A18" s="692" t="s">
        <v>768</v>
      </c>
      <c r="B18" s="693"/>
      <c r="C18" s="693"/>
      <c r="D18" s="693"/>
      <c r="E18" s="693"/>
      <c r="F18" s="693"/>
      <c r="G18" s="693"/>
      <c r="H18" s="693"/>
    </row>
    <row r="19" spans="1:10" s="334" customFormat="1" ht="17.25" customHeight="1" x14ac:dyDescent="0.2">
      <c r="A19" s="692" t="s">
        <v>768</v>
      </c>
      <c r="B19" s="693"/>
      <c r="C19" s="693"/>
      <c r="D19" s="693"/>
      <c r="E19" s="693"/>
      <c r="F19" s="693"/>
      <c r="G19" s="693"/>
      <c r="H19" s="693"/>
    </row>
    <row r="20" spans="1:10" s="334" customFormat="1" ht="17.25" customHeight="1" x14ac:dyDescent="0.2">
      <c r="A20" s="692" t="s">
        <v>768</v>
      </c>
      <c r="B20" s="693"/>
      <c r="C20" s="693"/>
      <c r="D20" s="693"/>
      <c r="E20" s="693"/>
      <c r="F20" s="693"/>
      <c r="G20" s="693"/>
      <c r="H20" s="693"/>
    </row>
    <row r="21" spans="1:10" s="334" customFormat="1" ht="17.25" customHeight="1" x14ac:dyDescent="0.2">
      <c r="A21" s="692" t="s">
        <v>768</v>
      </c>
      <c r="B21" s="693"/>
      <c r="C21" s="693"/>
      <c r="D21" s="693"/>
      <c r="E21" s="693"/>
      <c r="F21" s="693"/>
      <c r="G21" s="693"/>
      <c r="H21" s="693"/>
    </row>
    <row r="22" spans="1:10" s="334" customFormat="1" ht="17.25" customHeight="1" x14ac:dyDescent="0.2">
      <c r="A22" s="692" t="s">
        <v>768</v>
      </c>
      <c r="B22" s="693"/>
      <c r="C22" s="693"/>
      <c r="D22" s="693"/>
      <c r="E22" s="693"/>
      <c r="F22" s="693"/>
      <c r="G22" s="693"/>
      <c r="H22" s="693"/>
    </row>
    <row r="23" spans="1:10" s="334" customFormat="1" ht="17.25" customHeight="1" x14ac:dyDescent="0.2">
      <c r="A23" s="524"/>
      <c r="B23" s="525"/>
      <c r="C23" s="525"/>
      <c r="D23" s="525"/>
      <c r="E23" s="525"/>
      <c r="F23" s="525"/>
      <c r="G23" s="525"/>
      <c r="H23" s="525"/>
    </row>
    <row r="24" spans="1:10" ht="38.25" customHeight="1" x14ac:dyDescent="0.25">
      <c r="A24" s="697" t="s">
        <v>769</v>
      </c>
      <c r="B24" s="698"/>
      <c r="C24" s="698"/>
      <c r="D24" s="698"/>
      <c r="E24" s="698"/>
      <c r="F24" s="698"/>
      <c r="G24" s="698"/>
      <c r="H24" s="698"/>
      <c r="I24" s="312"/>
      <c r="J24" s="312"/>
    </row>
    <row r="25" spans="1:10" ht="123.75" customHeight="1" x14ac:dyDescent="0.25">
      <c r="A25" s="314" t="s">
        <v>475</v>
      </c>
      <c r="B25" s="314" t="s">
        <v>749</v>
      </c>
      <c r="C25" s="314" t="s">
        <v>476</v>
      </c>
      <c r="D25" s="314" t="s">
        <v>746</v>
      </c>
      <c r="E25" s="314" t="s">
        <v>477</v>
      </c>
      <c r="F25" s="314" t="s">
        <v>478</v>
      </c>
      <c r="G25" s="315">
        <v>0.05</v>
      </c>
      <c r="H25" s="314" t="s">
        <v>478</v>
      </c>
      <c r="I25" s="312"/>
      <c r="J25" s="312"/>
    </row>
    <row r="26" spans="1:10" s="500" customFormat="1" ht="54.75" customHeight="1" x14ac:dyDescent="0.25">
      <c r="A26" s="318" t="s">
        <v>716</v>
      </c>
      <c r="B26" s="497"/>
      <c r="C26" s="498"/>
      <c r="D26" s="319" t="e">
        <f>D28+D27</f>
        <v>#REF!</v>
      </c>
      <c r="E26" s="497"/>
      <c r="F26" s="319" t="e">
        <f>F28+F27</f>
        <v>#REF!</v>
      </c>
      <c r="G26" s="497"/>
      <c r="H26" s="319" t="e">
        <f>H28+H27</f>
        <v>#REF!</v>
      </c>
      <c r="I26" s="499"/>
      <c r="J26" s="499"/>
    </row>
    <row r="27" spans="1:10" s="339" customFormat="1" ht="37.5" customHeight="1" x14ac:dyDescent="0.25">
      <c r="A27" s="335" t="s">
        <v>480</v>
      </c>
      <c r="B27" s="341"/>
      <c r="C27" s="475"/>
      <c r="D27" s="336" t="e">
        <f>'расчет 1 эт ПИР'!C10</f>
        <v>#REF!</v>
      </c>
      <c r="E27" s="337">
        <v>1</v>
      </c>
      <c r="F27" s="336" t="e">
        <f>ROUND(D27*E27,0)</f>
        <v>#REF!</v>
      </c>
      <c r="G27" s="337"/>
      <c r="H27" s="336" t="e">
        <f>ROUND(D27*E27,0)</f>
        <v>#REF!</v>
      </c>
      <c r="I27" s="338"/>
      <c r="J27" s="338"/>
    </row>
    <row r="28" spans="1:10" s="339" customFormat="1" ht="30.75" customHeight="1" x14ac:dyDescent="0.25">
      <c r="A28" s="335" t="s">
        <v>710</v>
      </c>
      <c r="B28" s="341"/>
      <c r="C28" s="475"/>
      <c r="D28" s="336" t="e">
        <f>'расчет 1 эт ПИР'!C11</f>
        <v>#REF!</v>
      </c>
      <c r="E28" s="337">
        <v>1</v>
      </c>
      <c r="F28" s="336" t="e">
        <f>ROUND(D28*E28,0)</f>
        <v>#REF!</v>
      </c>
      <c r="G28" s="337"/>
      <c r="H28" s="336" t="e">
        <f>ROUND(D28*E28,0)</f>
        <v>#REF!</v>
      </c>
      <c r="I28" s="338"/>
      <c r="J28" s="338"/>
    </row>
    <row r="29" spans="1:10" s="500" customFormat="1" ht="21" customHeight="1" x14ac:dyDescent="0.25">
      <c r="A29" s="318" t="s">
        <v>718</v>
      </c>
      <c r="B29" s="497"/>
      <c r="C29" s="498"/>
      <c r="D29" s="319" t="e">
        <f>ROUND(D28*0.0265,2)</f>
        <v>#REF!</v>
      </c>
      <c r="E29" s="501">
        <v>1</v>
      </c>
      <c r="F29" s="319" t="e">
        <f>ROUND(D29*E29,0)</f>
        <v>#REF!</v>
      </c>
      <c r="G29" s="502"/>
      <c r="H29" s="319" t="e">
        <f>ROUND(D29*E29,0)</f>
        <v>#REF!</v>
      </c>
      <c r="I29" s="499"/>
      <c r="J29" s="499"/>
    </row>
    <row r="30" spans="1:10" s="500" customFormat="1" ht="30.75" customHeight="1" x14ac:dyDescent="0.25">
      <c r="A30" s="318" t="s">
        <v>719</v>
      </c>
      <c r="B30" s="497"/>
      <c r="C30" s="501"/>
      <c r="D30" s="319"/>
      <c r="E30" s="501"/>
      <c r="F30" s="319"/>
      <c r="G30" s="502"/>
      <c r="H30" s="319" t="e">
        <f>ROUND((H31)*0.0015,0)</f>
        <v>#REF!</v>
      </c>
      <c r="I30" s="617"/>
      <c r="J30" s="499"/>
    </row>
    <row r="31" spans="1:10" s="500" customFormat="1" ht="44.25" customHeight="1" x14ac:dyDescent="0.25">
      <c r="A31" s="318" t="s">
        <v>717</v>
      </c>
      <c r="B31" s="319" t="e">
        <f>B32+B33+B34</f>
        <v>#REF!</v>
      </c>
      <c r="C31" s="498"/>
      <c r="D31" s="319" t="e">
        <f>D32+D33+D34</f>
        <v>#REF!</v>
      </c>
      <c r="E31" s="497"/>
      <c r="F31" s="319" t="e">
        <f>F32+F33+F34</f>
        <v>#REF!</v>
      </c>
      <c r="G31" s="497"/>
      <c r="H31" s="319" t="e">
        <f>H32+H33+H34</f>
        <v>#REF!</v>
      </c>
      <c r="I31" s="618"/>
      <c r="J31" s="499"/>
    </row>
    <row r="32" spans="1:10" s="339" customFormat="1" ht="59.25" customHeight="1" x14ac:dyDescent="0.25">
      <c r="A32" s="335" t="s">
        <v>757</v>
      </c>
      <c r="B32" s="336" t="e">
        <f>#REF!*1000</f>
        <v>#REF!</v>
      </c>
      <c r="C32" s="475">
        <f>I42</f>
        <v>1.0264</v>
      </c>
      <c r="D32" s="336" t="e">
        <f>ROUND(B32*C32,0)</f>
        <v>#REF!</v>
      </c>
      <c r="E32" s="340">
        <f>I56</f>
        <v>1.0295000000000001</v>
      </c>
      <c r="F32" s="336" t="e">
        <f>ROUND(D32*E32,0)</f>
        <v>#REF!</v>
      </c>
      <c r="G32" s="336" t="e">
        <f>ROUND(F32*0.05,0)</f>
        <v>#REF!</v>
      </c>
      <c r="H32" s="336" t="e">
        <f t="shared" ref="H32:H33" si="0">F32-G32</f>
        <v>#REF!</v>
      </c>
      <c r="I32" s="620"/>
      <c r="J32" s="338"/>
    </row>
    <row r="33" spans="1:12" s="339" customFormat="1" ht="25.5" customHeight="1" x14ac:dyDescent="0.25">
      <c r="A33" s="335" t="s">
        <v>481</v>
      </c>
      <c r="B33" s="336"/>
      <c r="C33" s="475"/>
      <c r="D33" s="336"/>
      <c r="E33" s="340"/>
      <c r="F33" s="336">
        <v>1282870</v>
      </c>
      <c r="G33" s="336">
        <f t="shared" ref="G33" si="1">ROUND(F33*0.05,0)</f>
        <v>64144</v>
      </c>
      <c r="H33" s="336">
        <f t="shared" si="0"/>
        <v>1218726</v>
      </c>
      <c r="I33" s="619"/>
      <c r="J33" s="338"/>
    </row>
    <row r="34" spans="1:12" s="339" customFormat="1" ht="42" customHeight="1" x14ac:dyDescent="0.25">
      <c r="A34" s="335" t="s">
        <v>482</v>
      </c>
      <c r="B34" s="336"/>
      <c r="C34" s="475"/>
      <c r="D34" s="336"/>
      <c r="E34" s="337"/>
      <c r="F34" s="336"/>
      <c r="G34" s="336" t="e">
        <f>SUM(G32:G33)</f>
        <v>#REF!</v>
      </c>
      <c r="H34" s="336" t="e">
        <f>G34</f>
        <v>#REF!</v>
      </c>
      <c r="I34" s="619"/>
      <c r="J34" s="338"/>
    </row>
    <row r="35" spans="1:12" s="508" customFormat="1" ht="35.25" customHeight="1" x14ac:dyDescent="0.25">
      <c r="A35" s="503" t="s">
        <v>661</v>
      </c>
      <c r="B35" s="504" t="e">
        <f>B31+B29+B26+B30</f>
        <v>#REF!</v>
      </c>
      <c r="C35" s="505"/>
      <c r="D35" s="504" t="e">
        <f>D31+D29+D26+D30</f>
        <v>#REF!</v>
      </c>
      <c r="E35" s="506"/>
      <c r="F35" s="504" t="e">
        <f>F31+F29+F26+F30</f>
        <v>#REF!</v>
      </c>
      <c r="G35" s="504"/>
      <c r="H35" s="504" t="e">
        <f>H31+H29+H26+H30</f>
        <v>#REF!</v>
      </c>
      <c r="I35" s="621"/>
      <c r="J35" s="507"/>
    </row>
    <row r="36" spans="1:12" s="508" customFormat="1" ht="35.25" customHeight="1" x14ac:dyDescent="0.25">
      <c r="A36" s="503" t="s">
        <v>756</v>
      </c>
      <c r="B36" s="504"/>
      <c r="C36" s="505"/>
      <c r="D36" s="504"/>
      <c r="E36" s="506"/>
      <c r="F36" s="504"/>
      <c r="G36" s="504"/>
      <c r="H36" s="504" t="e">
        <f>ROUND(H35*0.976745,0)</f>
        <v>#REF!</v>
      </c>
      <c r="I36" s="621"/>
      <c r="J36" s="507"/>
    </row>
    <row r="37" spans="1:12" ht="35.25" customHeight="1" x14ac:dyDescent="0.25">
      <c r="A37" s="316" t="s">
        <v>46</v>
      </c>
      <c r="B37" s="317" t="e">
        <f>ROUND(B35*0.2,0)</f>
        <v>#REF!</v>
      </c>
      <c r="C37" s="476"/>
      <c r="D37" s="317" t="e">
        <f>ROUND(D35*0.2,0)</f>
        <v>#REF!</v>
      </c>
      <c r="E37" s="317"/>
      <c r="F37" s="317" t="e">
        <f>ROUND(F35*0.2,0)</f>
        <v>#REF!</v>
      </c>
      <c r="G37" s="317"/>
      <c r="H37" s="317" t="e">
        <f>ROUND(H36*0.2,0)</f>
        <v>#REF!</v>
      </c>
      <c r="I37" s="622"/>
      <c r="J37" s="312"/>
    </row>
    <row r="38" spans="1:12" s="511" customFormat="1" ht="35.25" customHeight="1" x14ac:dyDescent="0.25">
      <c r="A38" s="503" t="s">
        <v>479</v>
      </c>
      <c r="B38" s="504" t="e">
        <f>B35+B37</f>
        <v>#REF!</v>
      </c>
      <c r="C38" s="509"/>
      <c r="D38" s="504" t="e">
        <f>D35+D37</f>
        <v>#REF!</v>
      </c>
      <c r="E38" s="504"/>
      <c r="F38" s="504" t="e">
        <f>F35+F37</f>
        <v>#REF!</v>
      </c>
      <c r="G38" s="504"/>
      <c r="H38" s="504" t="e">
        <f>H36+H37</f>
        <v>#REF!</v>
      </c>
      <c r="I38" s="623"/>
      <c r="J38" s="510"/>
    </row>
    <row r="39" spans="1:12" s="345" customFormat="1" ht="17.25" customHeight="1" x14ac:dyDescent="0.25">
      <c r="A39" s="694" t="s">
        <v>647</v>
      </c>
      <c r="B39" s="695"/>
      <c r="C39" s="696"/>
      <c r="D39" s="696"/>
      <c r="E39" s="696"/>
      <c r="F39" s="696"/>
      <c r="G39" s="696"/>
      <c r="H39" s="696"/>
      <c r="I39" s="606"/>
      <c r="J39" s="344"/>
    </row>
    <row r="40" spans="1:12" s="345" customFormat="1" ht="17.25" customHeight="1" x14ac:dyDescent="0.25">
      <c r="A40" s="694" t="s">
        <v>648</v>
      </c>
      <c r="B40" s="695"/>
      <c r="C40" s="344"/>
      <c r="D40" s="344"/>
      <c r="E40" s="344"/>
      <c r="F40" s="344"/>
      <c r="G40" s="344"/>
      <c r="H40" s="344"/>
      <c r="I40" s="344"/>
      <c r="J40" s="344"/>
    </row>
    <row r="41" spans="1:12" customFormat="1" ht="21.95" customHeight="1" x14ac:dyDescent="0.25">
      <c r="A41" s="477" t="s">
        <v>738</v>
      </c>
      <c r="B41" s="607"/>
      <c r="C41" s="444"/>
      <c r="D41" s="444"/>
      <c r="E41" s="444"/>
      <c r="F41" s="444"/>
      <c r="G41" s="444"/>
      <c r="H41" s="444"/>
      <c r="I41" s="444"/>
      <c r="J41" s="444"/>
    </row>
    <row r="42" spans="1:12" s="345" customFormat="1" ht="17.25" customHeight="1" x14ac:dyDescent="0.25">
      <c r="A42" s="567" t="s">
        <v>739</v>
      </c>
      <c r="B42" s="599"/>
      <c r="C42" s="599"/>
      <c r="D42" s="599"/>
      <c r="E42" s="599"/>
      <c r="F42" s="599"/>
      <c r="G42" s="599"/>
      <c r="H42" s="599"/>
      <c r="I42" s="599">
        <f>ROUND(1*1.0052*1.0168*1.0042,4)</f>
        <v>1.0264</v>
      </c>
      <c r="J42" s="491" t="s">
        <v>11</v>
      </c>
    </row>
    <row r="43" spans="1:12" customFormat="1" ht="11.25" customHeight="1" x14ac:dyDescent="0.25">
      <c r="A43" s="699"/>
      <c r="B43" s="700"/>
      <c r="C43" s="444"/>
      <c r="D43" s="444"/>
      <c r="E43" s="444"/>
      <c r="F43" s="444"/>
      <c r="G43" s="444"/>
      <c r="H43" s="444"/>
      <c r="I43" s="444"/>
      <c r="J43" s="444"/>
    </row>
    <row r="44" spans="1:12" customFormat="1" ht="27" customHeight="1" x14ac:dyDescent="0.25">
      <c r="A44" s="701" t="s">
        <v>740</v>
      </c>
      <c r="B44" s="701"/>
      <c r="C44" s="701"/>
      <c r="D44" s="701"/>
      <c r="E44" s="701"/>
      <c r="F44" s="701"/>
      <c r="G44" s="701"/>
      <c r="H44" s="701"/>
      <c r="I44" s="444"/>
      <c r="J44" s="444"/>
    </row>
    <row r="45" spans="1:12" s="479" customFormat="1" x14ac:dyDescent="0.25">
      <c r="A45" s="486" t="s">
        <v>649</v>
      </c>
      <c r="B45" s="486"/>
      <c r="C45" s="487"/>
      <c r="D45" s="488"/>
      <c r="E45" s="488"/>
      <c r="F45" s="488"/>
      <c r="G45" s="488"/>
      <c r="H45" s="489"/>
      <c r="I45" s="474"/>
      <c r="J45" s="474"/>
    </row>
    <row r="46" spans="1:12" s="479" customFormat="1" x14ac:dyDescent="0.25">
      <c r="A46" s="486" t="s">
        <v>654</v>
      </c>
      <c r="B46" s="486"/>
      <c r="C46" s="487"/>
      <c r="D46" s="488"/>
      <c r="E46" s="488"/>
      <c r="F46" s="488"/>
      <c r="G46" s="488"/>
      <c r="H46" s="489"/>
      <c r="I46" s="474"/>
      <c r="J46" s="473">
        <f>(1-0.15)*0.5</f>
        <v>0.42499999999999999</v>
      </c>
      <c r="K46" s="479" t="s">
        <v>650</v>
      </c>
      <c r="L46" s="479" t="s">
        <v>651</v>
      </c>
    </row>
    <row r="47" spans="1:12" s="479" customFormat="1" x14ac:dyDescent="0.25">
      <c r="A47" s="486" t="s">
        <v>653</v>
      </c>
      <c r="B47" s="486"/>
      <c r="C47" s="487"/>
      <c r="D47" s="488"/>
      <c r="E47" s="488"/>
      <c r="F47" s="488"/>
      <c r="G47" s="488"/>
      <c r="H47" s="489"/>
      <c r="I47" s="474"/>
      <c r="J47" s="473">
        <f>(1-0.15)*0.5</f>
        <v>0.42499999999999999</v>
      </c>
      <c r="K47" s="479" t="s">
        <v>650</v>
      </c>
      <c r="L47" s="479" t="s">
        <v>652</v>
      </c>
    </row>
    <row r="48" spans="1:12" s="479" customFormat="1" x14ac:dyDescent="0.25">
      <c r="A48" s="486" t="s">
        <v>741</v>
      </c>
      <c r="B48" s="486"/>
      <c r="C48" s="487"/>
      <c r="D48" s="488"/>
      <c r="E48" s="488"/>
      <c r="F48" s="488"/>
      <c r="G48" s="488"/>
      <c r="H48" s="489"/>
      <c r="I48" s="474"/>
      <c r="J48" s="473"/>
    </row>
    <row r="49" spans="1:10" s="479" customFormat="1" x14ac:dyDescent="0.25">
      <c r="A49" s="486" t="s">
        <v>742</v>
      </c>
      <c r="B49" s="608">
        <v>1.036</v>
      </c>
      <c r="C49" s="487"/>
      <c r="D49" s="488"/>
      <c r="E49" s="488"/>
      <c r="F49" s="488"/>
      <c r="G49" s="488"/>
      <c r="H49" s="489"/>
      <c r="I49" s="474"/>
      <c r="J49" s="473"/>
    </row>
    <row r="50" spans="1:10" s="479" customFormat="1" x14ac:dyDescent="0.25">
      <c r="A50" s="486" t="s">
        <v>743</v>
      </c>
      <c r="B50" s="608">
        <v>1.0369999999999999</v>
      </c>
      <c r="C50" s="487"/>
      <c r="D50" s="488"/>
      <c r="E50" s="488"/>
      <c r="F50" s="488"/>
      <c r="G50" s="488"/>
      <c r="H50" s="489"/>
      <c r="I50" s="474"/>
      <c r="J50" s="473"/>
    </row>
    <row r="51" spans="1:10" s="479" customFormat="1" x14ac:dyDescent="0.25">
      <c r="A51" s="486" t="s">
        <v>744</v>
      </c>
      <c r="B51" s="608"/>
      <c r="C51" s="487"/>
      <c r="D51" s="488"/>
      <c r="E51" s="488"/>
      <c r="F51" s="488"/>
      <c r="G51" s="488"/>
      <c r="H51" s="489"/>
      <c r="I51" s="474"/>
      <c r="J51" s="473"/>
    </row>
    <row r="52" spans="1:10" s="479" customFormat="1" x14ac:dyDescent="0.25">
      <c r="A52" s="486" t="s">
        <v>742</v>
      </c>
      <c r="B52" s="609">
        <v>1.00295</v>
      </c>
      <c r="C52" s="487"/>
      <c r="D52" s="488"/>
      <c r="E52" s="488"/>
      <c r="F52" s="488"/>
      <c r="G52" s="488"/>
      <c r="H52" s="489"/>
      <c r="I52" s="474"/>
      <c r="J52" s="473"/>
    </row>
    <row r="53" spans="1:10" s="479" customFormat="1" x14ac:dyDescent="0.25">
      <c r="A53" s="486" t="s">
        <v>743</v>
      </c>
      <c r="B53" s="609">
        <v>1.0030300000000001</v>
      </c>
      <c r="C53" s="487"/>
      <c r="D53" s="488"/>
      <c r="E53" s="488"/>
      <c r="F53" s="488"/>
      <c r="G53" s="488"/>
      <c r="H53" s="489"/>
      <c r="I53" s="474"/>
      <c r="J53" s="473"/>
    </row>
    <row r="54" spans="1:10" s="479" customFormat="1" x14ac:dyDescent="0.25">
      <c r="A54" s="480" t="s">
        <v>745</v>
      </c>
      <c r="B54" s="481"/>
      <c r="C54" s="481"/>
      <c r="D54" s="482"/>
      <c r="E54" s="482"/>
      <c r="F54" s="482"/>
      <c r="G54" s="482"/>
      <c r="H54" s="483"/>
      <c r="I54" s="474">
        <f>ROUND((1.00295^6+1.00295^11)/2,4)</f>
        <v>1.0254000000000001</v>
      </c>
      <c r="J54" s="484"/>
    </row>
    <row r="55" spans="1:10" s="479" customFormat="1" x14ac:dyDescent="0.25">
      <c r="A55" s="480" t="s">
        <v>747</v>
      </c>
      <c r="B55" s="481"/>
      <c r="C55" s="481"/>
      <c r="D55" s="482"/>
      <c r="E55" s="482"/>
      <c r="F55" s="482"/>
      <c r="G55" s="482"/>
      <c r="H55" s="483"/>
      <c r="I55" s="474">
        <f>ROUND(1.00295^11*(1.00303+1.00303^6)/2,4)</f>
        <v>1.044</v>
      </c>
      <c r="J55" s="485"/>
    </row>
    <row r="56" spans="1:10" s="479" customFormat="1" x14ac:dyDescent="0.25">
      <c r="A56" s="480" t="s">
        <v>748</v>
      </c>
      <c r="B56" s="486"/>
      <c r="C56" s="486"/>
      <c r="D56" s="488"/>
      <c r="E56" s="488"/>
      <c r="F56" s="488"/>
      <c r="G56" s="488"/>
      <c r="H56" s="489"/>
      <c r="I56" s="615">
        <f>ROUND(0.15*1+0.425*1.0254+0.425*1.044,4)</f>
        <v>1.0295000000000001</v>
      </c>
      <c r="J56" s="478"/>
    </row>
    <row r="57" spans="1:10" s="614" customFormat="1" x14ac:dyDescent="0.25">
      <c r="A57" s="610"/>
      <c r="B57" s="611"/>
      <c r="C57" s="469"/>
      <c r="D57" s="469"/>
      <c r="E57" s="469"/>
      <c r="F57" s="469"/>
      <c r="G57" s="469"/>
      <c r="H57" s="612"/>
      <c r="I57" s="612"/>
      <c r="J57" s="613"/>
    </row>
    <row r="58" spans="1:10" s="479" customFormat="1" x14ac:dyDescent="0.25">
      <c r="A58" s="494" t="s">
        <v>657</v>
      </c>
      <c r="B58" s="495"/>
      <c r="C58" s="474"/>
      <c r="D58" s="474"/>
      <c r="E58" s="474"/>
      <c r="F58" s="474"/>
      <c r="G58" s="474"/>
      <c r="H58" s="474"/>
      <c r="I58" s="474"/>
      <c r="J58" s="473"/>
    </row>
    <row r="59" spans="1:10" s="479" customFormat="1" x14ac:dyDescent="0.25">
      <c r="A59" s="494" t="s">
        <v>655</v>
      </c>
      <c r="B59" s="495"/>
      <c r="C59" s="474"/>
      <c r="D59" s="474"/>
      <c r="E59" s="474"/>
      <c r="F59" s="474"/>
      <c r="G59" s="474"/>
      <c r="H59" s="474"/>
      <c r="I59" s="474"/>
      <c r="J59" s="473"/>
    </row>
    <row r="60" spans="1:10" s="479" customFormat="1" x14ac:dyDescent="0.25">
      <c r="A60" s="486" t="s">
        <v>658</v>
      </c>
      <c r="B60" s="495"/>
      <c r="C60" s="474"/>
      <c r="D60" s="474"/>
      <c r="E60" s="474"/>
      <c r="F60" s="474"/>
      <c r="G60" s="474"/>
      <c r="H60" s="474"/>
      <c r="I60" s="492">
        <f>174.13/1.2*183*24*1</f>
        <v>637315.80000000005</v>
      </c>
      <c r="J60" s="492"/>
    </row>
    <row r="61" spans="1:10" s="479" customFormat="1" x14ac:dyDescent="0.25">
      <c r="A61" s="494" t="s">
        <v>656</v>
      </c>
      <c r="B61" s="495"/>
      <c r="C61" s="474"/>
      <c r="D61" s="474"/>
      <c r="E61" s="474"/>
      <c r="F61" s="474"/>
      <c r="G61" s="474"/>
      <c r="H61" s="474"/>
      <c r="I61" s="474"/>
      <c r="J61" s="485"/>
    </row>
    <row r="62" spans="1:10" s="479" customFormat="1" x14ac:dyDescent="0.25">
      <c r="A62" s="486" t="s">
        <v>659</v>
      </c>
      <c r="B62" s="495"/>
      <c r="C62" s="474"/>
      <c r="D62" s="474"/>
      <c r="E62" s="474"/>
      <c r="F62" s="474"/>
      <c r="G62" s="474"/>
      <c r="H62" s="474"/>
      <c r="I62" s="492">
        <f>177.35/1.2*1*24*182</f>
        <v>645554</v>
      </c>
      <c r="J62" s="492"/>
    </row>
    <row r="63" spans="1:10" s="479" customFormat="1" x14ac:dyDescent="0.25">
      <c r="A63" s="486" t="s">
        <v>660</v>
      </c>
      <c r="B63" s="495"/>
      <c r="C63" s="474"/>
      <c r="D63" s="474"/>
      <c r="E63" s="474"/>
      <c r="F63" s="474"/>
      <c r="G63" s="474"/>
      <c r="H63" s="474"/>
      <c r="I63" s="496">
        <f ca="1">SUM(I60:I63)</f>
        <v>37077502959.592041</v>
      </c>
      <c r="J63" s="493"/>
    </row>
    <row r="64" spans="1:10" s="345" customFormat="1" ht="17.25" customHeight="1" x14ac:dyDescent="0.25">
      <c r="A64" s="694"/>
      <c r="B64" s="695"/>
      <c r="C64" s="696"/>
      <c r="D64" s="696"/>
      <c r="E64" s="696"/>
      <c r="F64" s="696"/>
      <c r="G64" s="696"/>
      <c r="H64" s="696"/>
      <c r="J64" s="344"/>
    </row>
    <row r="65" spans="1:10" ht="33.75" customHeight="1" x14ac:dyDescent="0.25">
      <c r="A65" s="697" t="s">
        <v>770</v>
      </c>
      <c r="B65" s="698"/>
      <c r="C65" s="698"/>
      <c r="D65" s="698"/>
      <c r="E65" s="698"/>
      <c r="F65" s="698"/>
      <c r="G65" s="698"/>
      <c r="H65" s="698"/>
      <c r="I65" s="312"/>
      <c r="J65" s="312"/>
    </row>
    <row r="66" spans="1:10" ht="123.75" customHeight="1" x14ac:dyDescent="0.25">
      <c r="A66" s="314" t="s">
        <v>475</v>
      </c>
      <c r="B66" s="314" t="s">
        <v>749</v>
      </c>
      <c r="C66" s="314" t="s">
        <v>476</v>
      </c>
      <c r="D66" s="314" t="s">
        <v>746</v>
      </c>
      <c r="E66" s="314" t="s">
        <v>477</v>
      </c>
      <c r="F66" s="314" t="s">
        <v>478</v>
      </c>
      <c r="G66" s="315">
        <v>0.05</v>
      </c>
      <c r="H66" s="314" t="s">
        <v>478</v>
      </c>
      <c r="I66" s="312"/>
      <c r="J66" s="312"/>
    </row>
    <row r="67" spans="1:10" s="500" customFormat="1" ht="54.75" customHeight="1" x14ac:dyDescent="0.25">
      <c r="A67" s="318" t="s">
        <v>716</v>
      </c>
      <c r="B67" s="497"/>
      <c r="C67" s="497"/>
      <c r="D67" s="319" t="e">
        <f>D69+D68</f>
        <v>#REF!</v>
      </c>
      <c r="E67" s="497"/>
      <c r="F67" s="319" t="e">
        <f>F69+F68</f>
        <v>#REF!</v>
      </c>
      <c r="G67" s="497"/>
      <c r="H67" s="319" t="e">
        <f>H69+H68</f>
        <v>#REF!</v>
      </c>
      <c r="I67" s="499"/>
      <c r="J67" s="499"/>
    </row>
    <row r="68" spans="1:10" s="339" customFormat="1" ht="37.5" customHeight="1" x14ac:dyDescent="0.25">
      <c r="A68" s="335" t="s">
        <v>480</v>
      </c>
      <c r="B68" s="341"/>
      <c r="C68" s="341"/>
      <c r="D68" s="336" t="e">
        <f>'расчет 2 эт ПИР'!C10</f>
        <v>#REF!</v>
      </c>
      <c r="E68" s="337">
        <v>1</v>
      </c>
      <c r="F68" s="336" t="e">
        <f>ROUND(D68*E68,0)</f>
        <v>#REF!</v>
      </c>
      <c r="G68" s="337"/>
      <c r="H68" s="336" t="e">
        <f>ROUND(D68*E68,0)</f>
        <v>#REF!</v>
      </c>
      <c r="I68" s="338"/>
      <c r="J68" s="338"/>
    </row>
    <row r="69" spans="1:10" s="339" customFormat="1" ht="30.75" customHeight="1" x14ac:dyDescent="0.25">
      <c r="A69" s="335" t="s">
        <v>710</v>
      </c>
      <c r="B69" s="341"/>
      <c r="C69" s="341"/>
      <c r="D69" s="336" t="e">
        <f>'расчет 2 эт ПИР'!C11</f>
        <v>#REF!</v>
      </c>
      <c r="E69" s="337">
        <v>1</v>
      </c>
      <c r="F69" s="336" t="e">
        <f>ROUND(D69*E69,0)</f>
        <v>#REF!</v>
      </c>
      <c r="G69" s="337"/>
      <c r="H69" s="336" t="e">
        <f>ROUND(D69*E69,0)</f>
        <v>#REF!</v>
      </c>
      <c r="I69" s="338"/>
      <c r="J69" s="338"/>
    </row>
    <row r="70" spans="1:10" s="500" customFormat="1" ht="21" customHeight="1" x14ac:dyDescent="0.25">
      <c r="A70" s="318" t="s">
        <v>718</v>
      </c>
      <c r="B70" s="497"/>
      <c r="C70" s="501"/>
      <c r="D70" s="319" t="e">
        <f>ROUND(D69*0.0265,2)</f>
        <v>#REF!</v>
      </c>
      <c r="E70" s="501">
        <v>1</v>
      </c>
      <c r="F70" s="319" t="e">
        <f>ROUND(D70*E70,0)</f>
        <v>#REF!</v>
      </c>
      <c r="G70" s="502"/>
      <c r="H70" s="319" t="e">
        <f>ROUND(D70*E70,0)</f>
        <v>#REF!</v>
      </c>
      <c r="I70" s="499"/>
      <c r="J70" s="499"/>
    </row>
    <row r="71" spans="1:10" s="500" customFormat="1" ht="28.5" x14ac:dyDescent="0.25">
      <c r="A71" s="318" t="s">
        <v>719</v>
      </c>
      <c r="B71" s="497"/>
      <c r="C71" s="501"/>
      <c r="D71" s="319"/>
      <c r="E71" s="501"/>
      <c r="F71" s="319"/>
      <c r="G71" s="502"/>
      <c r="H71" s="319" t="e">
        <f>ROUND((H72)*0.0015,0)</f>
        <v>#REF!</v>
      </c>
      <c r="I71" s="499"/>
      <c r="J71" s="499"/>
    </row>
    <row r="72" spans="1:10" s="500" customFormat="1" ht="46.5" customHeight="1" x14ac:dyDescent="0.25">
      <c r="A72" s="318" t="s">
        <v>717</v>
      </c>
      <c r="B72" s="319" t="e">
        <f>B73+B74+B75</f>
        <v>#REF!</v>
      </c>
      <c r="C72" s="497"/>
      <c r="D72" s="319" t="e">
        <f>D73+D74+D75</f>
        <v>#REF!</v>
      </c>
      <c r="E72" s="497"/>
      <c r="F72" s="319" t="e">
        <f>F73+F74+F75</f>
        <v>#REF!</v>
      </c>
      <c r="G72" s="497"/>
      <c r="H72" s="319" t="e">
        <f>H73+H74+H75</f>
        <v>#REF!</v>
      </c>
      <c r="I72" s="618"/>
      <c r="J72" s="499"/>
    </row>
    <row r="73" spans="1:10" s="339" customFormat="1" ht="64.5" customHeight="1" x14ac:dyDescent="0.25">
      <c r="A73" s="335" t="s">
        <v>757</v>
      </c>
      <c r="B73" s="336" t="e">
        <f>#REF!*1000</f>
        <v>#REF!</v>
      </c>
      <c r="C73" s="475">
        <f>I84</f>
        <v>1.0264</v>
      </c>
      <c r="D73" s="336" t="e">
        <f>ROUND(B73*C73,0)</f>
        <v>#REF!</v>
      </c>
      <c r="E73" s="340">
        <f>I98</f>
        <v>1.0295000000000001</v>
      </c>
      <c r="F73" s="336" t="e">
        <f>ROUND(D73*E73,0)</f>
        <v>#REF!</v>
      </c>
      <c r="G73" s="336" t="e">
        <f t="shared" ref="G73:G74" si="2">ROUND(F73*0.05,0)</f>
        <v>#REF!</v>
      </c>
      <c r="H73" s="336" t="e">
        <f t="shared" ref="H73:H74" si="3">F73-G73</f>
        <v>#REF!</v>
      </c>
      <c r="I73" s="338"/>
      <c r="J73" s="338"/>
    </row>
    <row r="74" spans="1:10" s="339" customFormat="1" ht="25.5" customHeight="1" x14ac:dyDescent="0.25">
      <c r="A74" s="335" t="s">
        <v>481</v>
      </c>
      <c r="B74" s="336"/>
      <c r="C74" s="475"/>
      <c r="D74" s="336"/>
      <c r="E74" s="340"/>
      <c r="F74" s="336">
        <v>1282870</v>
      </c>
      <c r="G74" s="336">
        <f t="shared" si="2"/>
        <v>64144</v>
      </c>
      <c r="H74" s="336">
        <f t="shared" si="3"/>
        <v>1218726</v>
      </c>
      <c r="I74" s="338"/>
      <c r="J74" s="338"/>
    </row>
    <row r="75" spans="1:10" s="339" customFormat="1" ht="42" customHeight="1" x14ac:dyDescent="0.25">
      <c r="A75" s="335" t="s">
        <v>482</v>
      </c>
      <c r="B75" s="336"/>
      <c r="C75" s="475"/>
      <c r="D75" s="336"/>
      <c r="E75" s="337"/>
      <c r="F75" s="336"/>
      <c r="G75" s="336" t="e">
        <f>SUM(G73:G74)</f>
        <v>#REF!</v>
      </c>
      <c r="H75" s="336" t="e">
        <f>G75</f>
        <v>#REF!</v>
      </c>
      <c r="I75" s="338"/>
      <c r="J75" s="338"/>
    </row>
    <row r="76" spans="1:10" s="508" customFormat="1" ht="35.25" customHeight="1" x14ac:dyDescent="0.25">
      <c r="A76" s="503" t="s">
        <v>452</v>
      </c>
      <c r="B76" s="504" t="e">
        <f>B72+B70+B67+B71</f>
        <v>#REF!</v>
      </c>
      <c r="C76" s="512"/>
      <c r="D76" s="504" t="e">
        <f>D72+D70+D67+D71</f>
        <v>#REF!</v>
      </c>
      <c r="E76" s="506"/>
      <c r="F76" s="504" t="e">
        <f>F72+F70+F67+F71</f>
        <v>#REF!</v>
      </c>
      <c r="G76" s="504"/>
      <c r="H76" s="504" t="e">
        <f>H72+H70+H67+H71</f>
        <v>#REF!</v>
      </c>
      <c r="I76" s="507"/>
      <c r="J76" s="507"/>
    </row>
    <row r="77" spans="1:10" s="508" customFormat="1" ht="35.25" customHeight="1" x14ac:dyDescent="0.25">
      <c r="A77" s="503" t="s">
        <v>756</v>
      </c>
      <c r="B77" s="504"/>
      <c r="C77" s="512"/>
      <c r="D77" s="504"/>
      <c r="E77" s="506"/>
      <c r="F77" s="504"/>
      <c r="G77" s="504"/>
      <c r="H77" s="504" t="e">
        <f>ROUND(H76*0.976745,0)</f>
        <v>#REF!</v>
      </c>
      <c r="I77" s="507"/>
      <c r="J77" s="507"/>
    </row>
    <row r="78" spans="1:10" ht="35.25" customHeight="1" x14ac:dyDescent="0.25">
      <c r="A78" s="316" t="s">
        <v>46</v>
      </c>
      <c r="B78" s="317" t="e">
        <f>ROUND(B76*0.2,0)</f>
        <v>#REF!</v>
      </c>
      <c r="C78" s="476"/>
      <c r="D78" s="317" t="e">
        <f>ROUND(D76*0.2,0)</f>
        <v>#REF!</v>
      </c>
      <c r="E78" s="317"/>
      <c r="F78" s="317" t="e">
        <f>ROUND(F76*0.2,0)</f>
        <v>#REF!</v>
      </c>
      <c r="G78" s="317"/>
      <c r="H78" s="317" t="e">
        <f>ROUND(H77*0.2,0)</f>
        <v>#REF!</v>
      </c>
      <c r="I78" s="312"/>
      <c r="J78" s="312"/>
    </row>
    <row r="79" spans="1:10" s="508" customFormat="1" ht="35.25" customHeight="1" x14ac:dyDescent="0.25">
      <c r="A79" s="503" t="s">
        <v>479</v>
      </c>
      <c r="B79" s="504" t="e">
        <f>B76+B78</f>
        <v>#REF!</v>
      </c>
      <c r="C79" s="509"/>
      <c r="D79" s="504" t="e">
        <f>D76+D78</f>
        <v>#REF!</v>
      </c>
      <c r="E79" s="504"/>
      <c r="F79" s="504" t="e">
        <f>F76+F78</f>
        <v>#REF!</v>
      </c>
      <c r="G79" s="504"/>
      <c r="H79" s="504" t="e">
        <f>H77+H78</f>
        <v>#REF!</v>
      </c>
      <c r="I79" s="507"/>
      <c r="J79" s="507"/>
    </row>
    <row r="80" spans="1:10" s="508" customFormat="1" ht="21" customHeight="1" x14ac:dyDescent="0.25">
      <c r="A80" s="632"/>
      <c r="B80" s="633"/>
      <c r="C80" s="634"/>
      <c r="D80" s="633"/>
      <c r="E80" s="633"/>
      <c r="F80" s="633"/>
      <c r="G80" s="633"/>
      <c r="H80" s="633"/>
      <c r="I80" s="507"/>
      <c r="J80" s="507"/>
    </row>
    <row r="81" spans="1:12" s="345" customFormat="1" ht="17.25" customHeight="1" x14ac:dyDescent="0.25">
      <c r="A81" s="694" t="s">
        <v>662</v>
      </c>
      <c r="B81" s="695"/>
      <c r="C81" s="696"/>
      <c r="D81" s="696"/>
      <c r="E81" s="696"/>
      <c r="F81" s="696"/>
      <c r="G81" s="696"/>
      <c r="H81" s="696"/>
      <c r="I81" s="400"/>
      <c r="J81" s="400"/>
    </row>
    <row r="82" spans="1:12" s="345" customFormat="1" ht="17.25" customHeight="1" x14ac:dyDescent="0.25">
      <c r="A82" s="694" t="s">
        <v>648</v>
      </c>
      <c r="B82" s="695"/>
      <c r="C82" s="400"/>
      <c r="D82" s="400"/>
      <c r="E82" s="400"/>
      <c r="F82" s="400"/>
      <c r="G82" s="400"/>
      <c r="H82" s="400"/>
      <c r="I82" s="400"/>
      <c r="J82" s="400"/>
    </row>
    <row r="83" spans="1:12" customFormat="1" ht="21.95" customHeight="1" x14ac:dyDescent="0.25">
      <c r="A83" s="477" t="s">
        <v>738</v>
      </c>
      <c r="B83" s="607"/>
      <c r="C83" s="444"/>
      <c r="D83" s="444"/>
      <c r="E83" s="444"/>
      <c r="F83" s="444"/>
      <c r="G83" s="444"/>
      <c r="H83" s="444"/>
      <c r="I83" s="444"/>
      <c r="J83" s="444"/>
    </row>
    <row r="84" spans="1:12" s="345" customFormat="1" ht="17.25" customHeight="1" x14ac:dyDescent="0.25">
      <c r="A84" s="567" t="s">
        <v>739</v>
      </c>
      <c r="B84" s="599"/>
      <c r="C84" s="599"/>
      <c r="D84" s="599"/>
      <c r="E84" s="599"/>
      <c r="F84" s="599"/>
      <c r="G84" s="599"/>
      <c r="H84" s="599"/>
      <c r="I84" s="599">
        <f>ROUND(1*1.0052*1.0168*1.0042,4)</f>
        <v>1.0264</v>
      </c>
      <c r="J84" s="491" t="s">
        <v>11</v>
      </c>
    </row>
    <row r="85" spans="1:12" customFormat="1" ht="11.25" customHeight="1" x14ac:dyDescent="0.25">
      <c r="A85" s="699"/>
      <c r="B85" s="700"/>
      <c r="C85" s="444"/>
      <c r="D85" s="444"/>
      <c r="E85" s="444"/>
      <c r="F85" s="444"/>
      <c r="G85" s="444"/>
      <c r="H85" s="444"/>
      <c r="I85" s="444"/>
      <c r="J85" s="444"/>
    </row>
    <row r="86" spans="1:12" customFormat="1" ht="27" customHeight="1" x14ac:dyDescent="0.25">
      <c r="A86" s="701" t="s">
        <v>740</v>
      </c>
      <c r="B86" s="701"/>
      <c r="C86" s="701"/>
      <c r="D86" s="701"/>
      <c r="E86" s="701"/>
      <c r="F86" s="701"/>
      <c r="G86" s="701"/>
      <c r="H86" s="701"/>
      <c r="I86" s="444"/>
      <c r="J86" s="444"/>
    </row>
    <row r="87" spans="1:12" s="479" customFormat="1" x14ac:dyDescent="0.25">
      <c r="A87" s="486" t="s">
        <v>649</v>
      </c>
      <c r="B87" s="486"/>
      <c r="C87" s="487"/>
      <c r="D87" s="488"/>
      <c r="E87" s="488"/>
      <c r="F87" s="488"/>
      <c r="G87" s="488"/>
      <c r="H87" s="489"/>
      <c r="I87" s="474"/>
      <c r="J87" s="474"/>
    </row>
    <row r="88" spans="1:12" s="479" customFormat="1" x14ac:dyDescent="0.25">
      <c r="A88" s="486" t="s">
        <v>654</v>
      </c>
      <c r="B88" s="486"/>
      <c r="C88" s="487"/>
      <c r="D88" s="488"/>
      <c r="E88" s="488"/>
      <c r="F88" s="488"/>
      <c r="G88" s="488"/>
      <c r="H88" s="489"/>
      <c r="I88" s="474"/>
      <c r="J88" s="473">
        <f>(1-0.15)*0.5</f>
        <v>0.42499999999999999</v>
      </c>
      <c r="K88" s="479" t="s">
        <v>650</v>
      </c>
      <c r="L88" s="479" t="s">
        <v>651</v>
      </c>
    </row>
    <row r="89" spans="1:12" s="479" customFormat="1" x14ac:dyDescent="0.25">
      <c r="A89" s="486" t="s">
        <v>653</v>
      </c>
      <c r="B89" s="486"/>
      <c r="C89" s="487"/>
      <c r="D89" s="488"/>
      <c r="E89" s="488"/>
      <c r="F89" s="488"/>
      <c r="G89" s="488"/>
      <c r="H89" s="489"/>
      <c r="I89" s="474"/>
      <c r="J89" s="473">
        <f>(1-0.15)*0.5</f>
        <v>0.42499999999999999</v>
      </c>
      <c r="K89" s="479" t="s">
        <v>650</v>
      </c>
      <c r="L89" s="479" t="s">
        <v>652</v>
      </c>
    </row>
    <row r="90" spans="1:12" s="479" customFormat="1" x14ac:dyDescent="0.25">
      <c r="A90" s="486" t="s">
        <v>741</v>
      </c>
      <c r="B90" s="486"/>
      <c r="C90" s="487"/>
      <c r="D90" s="488"/>
      <c r="E90" s="488"/>
      <c r="F90" s="488"/>
      <c r="G90" s="488"/>
      <c r="H90" s="489"/>
      <c r="I90" s="474"/>
      <c r="J90" s="473"/>
    </row>
    <row r="91" spans="1:12" s="479" customFormat="1" x14ac:dyDescent="0.25">
      <c r="A91" s="486" t="s">
        <v>742</v>
      </c>
      <c r="B91" s="608">
        <v>1.036</v>
      </c>
      <c r="C91" s="487"/>
      <c r="D91" s="488"/>
      <c r="E91" s="488"/>
      <c r="F91" s="488"/>
      <c r="G91" s="488"/>
      <c r="H91" s="489"/>
      <c r="I91" s="474"/>
      <c r="J91" s="473"/>
    </row>
    <row r="92" spans="1:12" s="479" customFormat="1" x14ac:dyDescent="0.25">
      <c r="A92" s="486" t="s">
        <v>743</v>
      </c>
      <c r="B92" s="608">
        <v>1.0369999999999999</v>
      </c>
      <c r="C92" s="487"/>
      <c r="D92" s="488"/>
      <c r="E92" s="488"/>
      <c r="F92" s="488"/>
      <c r="G92" s="488"/>
      <c r="H92" s="489"/>
      <c r="I92" s="474"/>
      <c r="J92" s="473"/>
    </row>
    <row r="93" spans="1:12" s="479" customFormat="1" x14ac:dyDescent="0.25">
      <c r="A93" s="486" t="s">
        <v>744</v>
      </c>
      <c r="B93" s="608"/>
      <c r="C93" s="487"/>
      <c r="D93" s="488"/>
      <c r="E93" s="488"/>
      <c r="F93" s="488"/>
      <c r="G93" s="488"/>
      <c r="H93" s="489"/>
      <c r="I93" s="474"/>
      <c r="J93" s="473"/>
    </row>
    <row r="94" spans="1:12" s="479" customFormat="1" x14ac:dyDescent="0.25">
      <c r="A94" s="486" t="s">
        <v>742</v>
      </c>
      <c r="B94" s="609">
        <v>1.00295</v>
      </c>
      <c r="C94" s="487"/>
      <c r="D94" s="488"/>
      <c r="E94" s="488"/>
      <c r="F94" s="488"/>
      <c r="G94" s="488"/>
      <c r="H94" s="489"/>
      <c r="I94" s="474"/>
      <c r="J94" s="473"/>
    </row>
    <row r="95" spans="1:12" s="479" customFormat="1" x14ac:dyDescent="0.25">
      <c r="A95" s="486" t="s">
        <v>743</v>
      </c>
      <c r="B95" s="609">
        <v>1.0030300000000001</v>
      </c>
      <c r="C95" s="487"/>
      <c r="D95" s="488"/>
      <c r="E95" s="488"/>
      <c r="F95" s="488"/>
      <c r="G95" s="488"/>
      <c r="H95" s="489"/>
      <c r="I95" s="474"/>
      <c r="J95" s="473"/>
    </row>
    <row r="96" spans="1:12" s="479" customFormat="1" x14ac:dyDescent="0.25">
      <c r="A96" s="480" t="s">
        <v>745</v>
      </c>
      <c r="B96" s="481"/>
      <c r="C96" s="481"/>
      <c r="D96" s="482"/>
      <c r="E96" s="482"/>
      <c r="F96" s="482"/>
      <c r="G96" s="482"/>
      <c r="H96" s="483"/>
      <c r="I96" s="474">
        <f>ROUND((1.00295^6+1.00295^11)/2,4)</f>
        <v>1.0254000000000001</v>
      </c>
      <c r="J96" s="484"/>
    </row>
    <row r="97" spans="1:10" s="479" customFormat="1" x14ac:dyDescent="0.25">
      <c r="A97" s="480" t="s">
        <v>747</v>
      </c>
      <c r="B97" s="481"/>
      <c r="C97" s="481"/>
      <c r="D97" s="482"/>
      <c r="E97" s="482"/>
      <c r="F97" s="482"/>
      <c r="G97" s="482"/>
      <c r="H97" s="483"/>
      <c r="I97" s="474">
        <f>ROUND(1.00295^11*(1.00303+1.00303^6)/2,4)</f>
        <v>1.044</v>
      </c>
      <c r="J97" s="485"/>
    </row>
    <row r="98" spans="1:10" s="479" customFormat="1" x14ac:dyDescent="0.25">
      <c r="A98" s="480" t="s">
        <v>748</v>
      </c>
      <c r="B98" s="486"/>
      <c r="C98" s="486"/>
      <c r="D98" s="488"/>
      <c r="E98" s="488"/>
      <c r="F98" s="488"/>
      <c r="G98" s="488"/>
      <c r="H98" s="489"/>
      <c r="I98" s="615">
        <f>ROUND(0.15*1+0.425*1.0254+0.425*1.044,4)</f>
        <v>1.0295000000000001</v>
      </c>
      <c r="J98" s="478"/>
    </row>
    <row r="99" spans="1:10" s="479" customFormat="1" x14ac:dyDescent="0.25">
      <c r="A99" s="490"/>
      <c r="B99" s="488"/>
      <c r="C99" s="482"/>
      <c r="D99" s="482"/>
      <c r="E99" s="482"/>
      <c r="F99" s="482"/>
      <c r="G99" s="482"/>
      <c r="H99" s="474"/>
      <c r="I99" s="474"/>
      <c r="J99" s="478"/>
    </row>
    <row r="100" spans="1:10" s="479" customFormat="1" x14ac:dyDescent="0.25">
      <c r="A100" s="494" t="s">
        <v>663</v>
      </c>
      <c r="B100" s="495"/>
      <c r="C100" s="474"/>
      <c r="D100" s="474"/>
      <c r="E100" s="474"/>
      <c r="F100" s="474"/>
      <c r="G100" s="474"/>
      <c r="H100" s="474"/>
      <c r="I100" s="474"/>
      <c r="J100" s="473"/>
    </row>
    <row r="101" spans="1:10" s="479" customFormat="1" x14ac:dyDescent="0.25">
      <c r="A101" s="494" t="s">
        <v>655</v>
      </c>
      <c r="B101" s="495"/>
      <c r="C101" s="474"/>
      <c r="D101" s="474"/>
      <c r="E101" s="474"/>
      <c r="F101" s="474"/>
      <c r="G101" s="474"/>
      <c r="H101" s="474"/>
      <c r="I101" s="474"/>
      <c r="J101" s="473"/>
    </row>
    <row r="102" spans="1:10" s="479" customFormat="1" x14ac:dyDescent="0.25">
      <c r="A102" s="486" t="s">
        <v>658</v>
      </c>
      <c r="B102" s="495"/>
      <c r="C102" s="474"/>
      <c r="D102" s="474"/>
      <c r="E102" s="474"/>
      <c r="F102" s="474"/>
      <c r="G102" s="474"/>
      <c r="H102" s="474"/>
      <c r="I102" s="492">
        <f>174.13/1.2*183*24*1</f>
        <v>637315.80000000005</v>
      </c>
      <c r="J102" s="492"/>
    </row>
    <row r="103" spans="1:10" s="479" customFormat="1" x14ac:dyDescent="0.25">
      <c r="A103" s="494" t="s">
        <v>656</v>
      </c>
      <c r="B103" s="495"/>
      <c r="C103" s="474"/>
      <c r="D103" s="474"/>
      <c r="E103" s="474"/>
      <c r="F103" s="474"/>
      <c r="G103" s="474"/>
      <c r="H103" s="474"/>
      <c r="I103" s="474"/>
      <c r="J103" s="485"/>
    </row>
    <row r="104" spans="1:10" s="479" customFormat="1" x14ac:dyDescent="0.25">
      <c r="A104" s="486" t="s">
        <v>659</v>
      </c>
      <c r="B104" s="495"/>
      <c r="C104" s="474"/>
      <c r="D104" s="474"/>
      <c r="E104" s="474"/>
      <c r="F104" s="474"/>
      <c r="G104" s="474"/>
      <c r="H104" s="474"/>
      <c r="I104" s="492">
        <f>177.35/1.2*1*24*182</f>
        <v>645554</v>
      </c>
      <c r="J104" s="492"/>
    </row>
    <row r="105" spans="1:10" s="479" customFormat="1" x14ac:dyDescent="0.25">
      <c r="A105" s="486" t="s">
        <v>664</v>
      </c>
      <c r="B105" s="495"/>
      <c r="C105" s="474"/>
      <c r="D105" s="474"/>
      <c r="E105" s="474"/>
      <c r="F105" s="474"/>
      <c r="G105" s="474"/>
      <c r="H105" s="474"/>
      <c r="I105" s="496">
        <f ca="1">SUM(I102:I105)</f>
        <v>37077502959.592041</v>
      </c>
      <c r="J105" s="493"/>
    </row>
    <row r="106" spans="1:10" ht="15.75" x14ac:dyDescent="0.25">
      <c r="A106" s="320"/>
      <c r="B106" s="320"/>
      <c r="C106" s="321"/>
      <c r="D106" s="322"/>
      <c r="E106" s="322"/>
      <c r="F106" s="322"/>
      <c r="G106" s="322"/>
      <c r="H106" s="323"/>
      <c r="I106" s="312"/>
      <c r="J106" s="312"/>
    </row>
    <row r="107" spans="1:10" ht="24.75" customHeight="1" x14ac:dyDescent="0.25">
      <c r="A107" s="697" t="s">
        <v>771</v>
      </c>
      <c r="B107" s="698"/>
      <c r="C107" s="698"/>
      <c r="D107" s="698"/>
      <c r="E107" s="698"/>
      <c r="F107" s="698"/>
      <c r="G107" s="698"/>
      <c r="H107" s="698"/>
      <c r="I107" s="312"/>
      <c r="J107" s="312"/>
    </row>
    <row r="108" spans="1:10" ht="123.75" customHeight="1" x14ac:dyDescent="0.25">
      <c r="A108" s="314" t="s">
        <v>475</v>
      </c>
      <c r="B108" s="314" t="s">
        <v>749</v>
      </c>
      <c r="C108" s="314" t="s">
        <v>476</v>
      </c>
      <c r="D108" s="314" t="s">
        <v>746</v>
      </c>
      <c r="E108" s="314" t="s">
        <v>477</v>
      </c>
      <c r="F108" s="314" t="s">
        <v>478</v>
      </c>
      <c r="G108" s="315">
        <v>0.05</v>
      </c>
      <c r="H108" s="314" t="s">
        <v>478</v>
      </c>
      <c r="I108" s="312"/>
      <c r="J108" s="312"/>
    </row>
    <row r="109" spans="1:10" s="500" customFormat="1" ht="54.75" customHeight="1" x14ac:dyDescent="0.25">
      <c r="A109" s="318" t="s">
        <v>716</v>
      </c>
      <c r="B109" s="497"/>
      <c r="C109" s="497"/>
      <c r="D109" s="319" t="e">
        <f>D111+D110</f>
        <v>#REF!</v>
      </c>
      <c r="E109" s="497"/>
      <c r="F109" s="319" t="e">
        <f>F111+F110</f>
        <v>#REF!</v>
      </c>
      <c r="G109" s="497"/>
      <c r="H109" s="319" t="e">
        <f>H111+H110</f>
        <v>#REF!</v>
      </c>
      <c r="I109" s="499"/>
      <c r="J109" s="499"/>
    </row>
    <row r="110" spans="1:10" s="339" customFormat="1" ht="37.5" customHeight="1" x14ac:dyDescent="0.25">
      <c r="A110" s="335" t="s">
        <v>480</v>
      </c>
      <c r="B110" s="341"/>
      <c r="C110" s="341"/>
      <c r="D110" s="336" t="e">
        <f>'расчет эт 3 ПИР'!C10</f>
        <v>#REF!</v>
      </c>
      <c r="E110" s="337">
        <v>1</v>
      </c>
      <c r="F110" s="336" t="e">
        <f>ROUND(D110*E110,0)</f>
        <v>#REF!</v>
      </c>
      <c r="G110" s="337"/>
      <c r="H110" s="336" t="e">
        <f>ROUND(D110*E110,0)</f>
        <v>#REF!</v>
      </c>
      <c r="I110" s="338"/>
      <c r="J110" s="338"/>
    </row>
    <row r="111" spans="1:10" s="339" customFormat="1" ht="30.75" customHeight="1" x14ac:dyDescent="0.25">
      <c r="A111" s="335" t="s">
        <v>710</v>
      </c>
      <c r="B111" s="341"/>
      <c r="C111" s="341"/>
      <c r="D111" s="336" t="e">
        <f>'расчет эт 3 ПИР'!C11</f>
        <v>#REF!</v>
      </c>
      <c r="E111" s="337">
        <f>1</f>
        <v>1</v>
      </c>
      <c r="F111" s="336" t="e">
        <f>ROUND(D111*E111,0)</f>
        <v>#REF!</v>
      </c>
      <c r="G111" s="337"/>
      <c r="H111" s="336" t="e">
        <f>ROUND(D111*E111,0)</f>
        <v>#REF!</v>
      </c>
      <c r="I111" s="338"/>
      <c r="J111" s="338"/>
    </row>
    <row r="112" spans="1:10" s="500" customFormat="1" ht="21" customHeight="1" x14ac:dyDescent="0.25">
      <c r="A112" s="318" t="s">
        <v>718</v>
      </c>
      <c r="B112" s="497"/>
      <c r="C112" s="501"/>
      <c r="D112" s="319" t="e">
        <f>ROUND(D111*0.0265,2)</f>
        <v>#REF!</v>
      </c>
      <c r="E112" s="501">
        <v>1</v>
      </c>
      <c r="F112" s="319" t="e">
        <f>ROUND(D112*E112,0)</f>
        <v>#REF!</v>
      </c>
      <c r="G112" s="502"/>
      <c r="H112" s="319" t="e">
        <f>ROUND(D112*E112,0)</f>
        <v>#REF!</v>
      </c>
      <c r="I112" s="499"/>
      <c r="J112" s="499"/>
    </row>
    <row r="113" spans="1:10" s="500" customFormat="1" ht="30.75" customHeight="1" x14ac:dyDescent="0.25">
      <c r="A113" s="318" t="s">
        <v>719</v>
      </c>
      <c r="B113" s="497"/>
      <c r="C113" s="501"/>
      <c r="D113" s="319"/>
      <c r="E113" s="501"/>
      <c r="F113" s="319"/>
      <c r="G113" s="502"/>
      <c r="H113" s="319" t="e">
        <f>ROUND((H114)*0.0015,0)</f>
        <v>#REF!</v>
      </c>
      <c r="I113" s="499"/>
      <c r="J113" s="499"/>
    </row>
    <row r="114" spans="1:10" s="500" customFormat="1" ht="41.25" customHeight="1" x14ac:dyDescent="0.25">
      <c r="A114" s="318" t="s">
        <v>717</v>
      </c>
      <c r="B114" s="319" t="e">
        <f>B115+B116+B117</f>
        <v>#REF!</v>
      </c>
      <c r="C114" s="497"/>
      <c r="D114" s="319" t="e">
        <f>D115+D116+D117</f>
        <v>#REF!</v>
      </c>
      <c r="E114" s="497"/>
      <c r="F114" s="319" t="e">
        <f>F115+F116+F117</f>
        <v>#REF!</v>
      </c>
      <c r="G114" s="497"/>
      <c r="H114" s="319" t="e">
        <f>H115+H116+H117</f>
        <v>#REF!</v>
      </c>
      <c r="I114" s="513" t="e">
        <f>B114-'[13]ПНЦ на УК'!$B$108</f>
        <v>#REF!</v>
      </c>
      <c r="J114" s="499"/>
    </row>
    <row r="115" spans="1:10" s="339" customFormat="1" ht="64.5" customHeight="1" x14ac:dyDescent="0.25">
      <c r="A115" s="335" t="s">
        <v>757</v>
      </c>
      <c r="B115" s="336" t="e">
        <f>#REF!*1000</f>
        <v>#REF!</v>
      </c>
      <c r="C115" s="475">
        <f>I125</f>
        <v>1.0264</v>
      </c>
      <c r="D115" s="336" t="e">
        <f>ROUND(B115*C115,0)</f>
        <v>#REF!</v>
      </c>
      <c r="E115" s="340">
        <f>I139</f>
        <v>1.0295000000000001</v>
      </c>
      <c r="F115" s="336" t="e">
        <f>ROUND(D115*E115,0)-1</f>
        <v>#REF!</v>
      </c>
      <c r="G115" s="336" t="e">
        <f t="shared" ref="G115:G116" si="4">ROUND(F115*0.05,0)</f>
        <v>#REF!</v>
      </c>
      <c r="H115" s="336" t="e">
        <f t="shared" ref="H115:H116" si="5">F115-G115</f>
        <v>#REF!</v>
      </c>
      <c r="I115" s="338"/>
      <c r="J115" s="338"/>
    </row>
    <row r="116" spans="1:10" s="339" customFormat="1" ht="25.5" customHeight="1" x14ac:dyDescent="0.25">
      <c r="A116" s="335" t="s">
        <v>481</v>
      </c>
      <c r="B116" s="336"/>
      <c r="C116" s="475"/>
      <c r="D116" s="336"/>
      <c r="E116" s="340"/>
      <c r="F116" s="336">
        <v>1282870</v>
      </c>
      <c r="G116" s="336">
        <f t="shared" si="4"/>
        <v>64144</v>
      </c>
      <c r="H116" s="336">
        <f t="shared" si="5"/>
        <v>1218726</v>
      </c>
      <c r="I116" s="338"/>
      <c r="J116" s="338"/>
    </row>
    <row r="117" spans="1:10" s="339" customFormat="1" ht="42" customHeight="1" x14ac:dyDescent="0.25">
      <c r="A117" s="335" t="s">
        <v>482</v>
      </c>
      <c r="B117" s="336"/>
      <c r="C117" s="475"/>
      <c r="D117" s="336"/>
      <c r="E117" s="337"/>
      <c r="F117" s="336"/>
      <c r="G117" s="336" t="e">
        <f>SUM(G115:G116)</f>
        <v>#REF!</v>
      </c>
      <c r="H117" s="336" t="e">
        <f>G117</f>
        <v>#REF!</v>
      </c>
      <c r="I117" s="338"/>
      <c r="J117" s="338"/>
    </row>
    <row r="118" spans="1:10" s="508" customFormat="1" ht="35.25" customHeight="1" x14ac:dyDescent="0.25">
      <c r="A118" s="503" t="s">
        <v>452</v>
      </c>
      <c r="B118" s="504" t="e">
        <f>B114+B112+B109+B113</f>
        <v>#REF!</v>
      </c>
      <c r="C118" s="512"/>
      <c r="D118" s="504" t="e">
        <f>D114+D112+D109+D113</f>
        <v>#REF!</v>
      </c>
      <c r="E118" s="506"/>
      <c r="F118" s="504" t="e">
        <f>F114+F112+F109+F113</f>
        <v>#REF!</v>
      </c>
      <c r="G118" s="504"/>
      <c r="H118" s="504" t="e">
        <f>H114+H112+H109+H113</f>
        <v>#REF!</v>
      </c>
      <c r="I118" s="507"/>
      <c r="J118" s="507"/>
    </row>
    <row r="119" spans="1:10" s="508" customFormat="1" ht="35.25" customHeight="1" x14ac:dyDescent="0.25">
      <c r="A119" s="503" t="s">
        <v>756</v>
      </c>
      <c r="B119" s="504"/>
      <c r="C119" s="512"/>
      <c r="D119" s="504"/>
      <c r="E119" s="506"/>
      <c r="F119" s="504"/>
      <c r="G119" s="504"/>
      <c r="H119" s="504" t="e">
        <f>ROUND(H118*0.976745,0)</f>
        <v>#REF!</v>
      </c>
      <c r="I119" s="507"/>
      <c r="J119" s="507"/>
    </row>
    <row r="120" spans="1:10" ht="35.25" customHeight="1" x14ac:dyDescent="0.25">
      <c r="A120" s="316" t="s">
        <v>46</v>
      </c>
      <c r="B120" s="317" t="e">
        <f>ROUND(B118*0.2,0)</f>
        <v>#REF!</v>
      </c>
      <c r="C120" s="476"/>
      <c r="D120" s="317" t="e">
        <f>ROUND(D118*0.2,0)</f>
        <v>#REF!</v>
      </c>
      <c r="E120" s="317"/>
      <c r="F120" s="317" t="e">
        <f>ROUND(F118*0.2,0)</f>
        <v>#REF!</v>
      </c>
      <c r="G120" s="317"/>
      <c r="H120" s="317" t="e">
        <f>ROUND(H119*0.2,0)</f>
        <v>#REF!</v>
      </c>
      <c r="I120" s="312"/>
      <c r="J120" s="312"/>
    </row>
    <row r="121" spans="1:10" s="508" customFormat="1" ht="35.25" customHeight="1" x14ac:dyDescent="0.25">
      <c r="A121" s="503" t="s">
        <v>479</v>
      </c>
      <c r="B121" s="504" t="e">
        <f>B118+B120</f>
        <v>#REF!</v>
      </c>
      <c r="C121" s="509"/>
      <c r="D121" s="504" t="e">
        <f>D118+D120</f>
        <v>#REF!</v>
      </c>
      <c r="E121" s="504"/>
      <c r="F121" s="504" t="e">
        <f>F118+F120</f>
        <v>#REF!</v>
      </c>
      <c r="G121" s="504"/>
      <c r="H121" s="504" t="e">
        <f>H119+H120</f>
        <v>#REF!</v>
      </c>
      <c r="I121" s="507"/>
      <c r="J121" s="507"/>
    </row>
    <row r="122" spans="1:10" s="345" customFormat="1" ht="17.25" customHeight="1" x14ac:dyDescent="0.25">
      <c r="A122" s="694" t="s">
        <v>662</v>
      </c>
      <c r="B122" s="695"/>
      <c r="C122" s="696"/>
      <c r="D122" s="696"/>
      <c r="E122" s="696"/>
      <c r="F122" s="696"/>
      <c r="G122" s="696"/>
      <c r="H122" s="696"/>
      <c r="I122" s="400"/>
      <c r="J122" s="400"/>
    </row>
    <row r="123" spans="1:10" s="345" customFormat="1" ht="17.25" customHeight="1" x14ac:dyDescent="0.25">
      <c r="A123" s="694" t="s">
        <v>648</v>
      </c>
      <c r="B123" s="695"/>
      <c r="C123" s="400"/>
      <c r="D123" s="400"/>
      <c r="E123" s="400"/>
      <c r="F123" s="400"/>
      <c r="G123" s="400"/>
      <c r="H123" s="400"/>
      <c r="I123" s="400"/>
      <c r="J123" s="400"/>
    </row>
    <row r="124" spans="1:10" customFormat="1" ht="21.95" customHeight="1" x14ac:dyDescent="0.25">
      <c r="A124" s="477" t="s">
        <v>738</v>
      </c>
      <c r="B124" s="607"/>
      <c r="C124" s="444"/>
      <c r="D124" s="444"/>
      <c r="E124" s="444"/>
      <c r="F124" s="444"/>
      <c r="G124" s="444"/>
      <c r="H124" s="444"/>
      <c r="I124" s="444"/>
      <c r="J124" s="444"/>
    </row>
    <row r="125" spans="1:10" s="345" customFormat="1" ht="17.25" customHeight="1" x14ac:dyDescent="0.25">
      <c r="A125" s="567" t="s">
        <v>739</v>
      </c>
      <c r="B125" s="561"/>
      <c r="C125" s="400"/>
      <c r="D125" s="400"/>
      <c r="E125" s="400"/>
      <c r="F125" s="400"/>
      <c r="G125" s="400"/>
      <c r="H125" s="400"/>
      <c r="I125" s="561">
        <f>ROUND(1*1.0052*1.0168*1.0042,4)</f>
        <v>1.0264</v>
      </c>
      <c r="J125" s="491" t="s">
        <v>11</v>
      </c>
    </row>
    <row r="126" spans="1:10" customFormat="1" ht="11.25" customHeight="1" x14ac:dyDescent="0.25">
      <c r="A126" s="699"/>
      <c r="B126" s="700"/>
      <c r="C126" s="444"/>
      <c r="D126" s="444"/>
      <c r="E126" s="444"/>
      <c r="F126" s="444"/>
      <c r="G126" s="444"/>
      <c r="H126" s="444"/>
      <c r="I126" s="444"/>
      <c r="J126" s="444"/>
    </row>
    <row r="127" spans="1:10" customFormat="1" ht="27" customHeight="1" x14ac:dyDescent="0.25">
      <c r="A127" s="701" t="s">
        <v>740</v>
      </c>
      <c r="B127" s="701"/>
      <c r="C127" s="701"/>
      <c r="D127" s="701"/>
      <c r="E127" s="701"/>
      <c r="F127" s="701"/>
      <c r="G127" s="701"/>
      <c r="H127" s="701"/>
      <c r="I127" s="444"/>
      <c r="J127" s="444"/>
    </row>
    <row r="128" spans="1:10" s="479" customFormat="1" x14ac:dyDescent="0.25">
      <c r="A128" s="486" t="s">
        <v>649</v>
      </c>
      <c r="B128" s="486"/>
      <c r="C128" s="487"/>
      <c r="D128" s="488"/>
      <c r="E128" s="488"/>
      <c r="F128" s="488"/>
      <c r="G128" s="488"/>
      <c r="H128" s="489"/>
      <c r="I128" s="474"/>
      <c r="J128" s="474"/>
    </row>
    <row r="129" spans="1:12" s="479" customFormat="1" x14ac:dyDescent="0.25">
      <c r="A129" s="486" t="s">
        <v>654</v>
      </c>
      <c r="B129" s="486"/>
      <c r="C129" s="487"/>
      <c r="D129" s="488"/>
      <c r="E129" s="488"/>
      <c r="F129" s="488"/>
      <c r="G129" s="488"/>
      <c r="H129" s="489"/>
      <c r="I129" s="474"/>
      <c r="J129" s="473">
        <f>(1-0.15)*0.5</f>
        <v>0.42499999999999999</v>
      </c>
      <c r="K129" s="479" t="s">
        <v>650</v>
      </c>
      <c r="L129" s="479" t="s">
        <v>651</v>
      </c>
    </row>
    <row r="130" spans="1:12" s="479" customFormat="1" x14ac:dyDescent="0.25">
      <c r="A130" s="486" t="s">
        <v>653</v>
      </c>
      <c r="B130" s="486"/>
      <c r="C130" s="487"/>
      <c r="D130" s="488"/>
      <c r="E130" s="488"/>
      <c r="F130" s="488"/>
      <c r="G130" s="488"/>
      <c r="H130" s="489"/>
      <c r="I130" s="474"/>
      <c r="J130" s="473">
        <f>(1-0.15)*0.5</f>
        <v>0.42499999999999999</v>
      </c>
      <c r="K130" s="479" t="s">
        <v>650</v>
      </c>
      <c r="L130" s="479" t="s">
        <v>652</v>
      </c>
    </row>
    <row r="131" spans="1:12" s="479" customFormat="1" x14ac:dyDescent="0.25">
      <c r="A131" s="486" t="s">
        <v>741</v>
      </c>
      <c r="B131" s="486"/>
      <c r="C131" s="487"/>
      <c r="D131" s="488"/>
      <c r="E131" s="488"/>
      <c r="F131" s="488"/>
      <c r="G131" s="488"/>
      <c r="H131" s="489"/>
      <c r="I131" s="474"/>
      <c r="J131" s="473"/>
    </row>
    <row r="132" spans="1:12" s="479" customFormat="1" x14ac:dyDescent="0.25">
      <c r="A132" s="486" t="s">
        <v>742</v>
      </c>
      <c r="B132" s="608">
        <v>1.036</v>
      </c>
      <c r="C132" s="487"/>
      <c r="D132" s="488"/>
      <c r="E132" s="488"/>
      <c r="F132" s="488"/>
      <c r="G132" s="488"/>
      <c r="H132" s="489"/>
      <c r="I132" s="474"/>
      <c r="J132" s="473"/>
    </row>
    <row r="133" spans="1:12" s="479" customFormat="1" x14ac:dyDescent="0.25">
      <c r="A133" s="486" t="s">
        <v>743</v>
      </c>
      <c r="B133" s="608">
        <v>1.0369999999999999</v>
      </c>
      <c r="C133" s="487"/>
      <c r="D133" s="488"/>
      <c r="E133" s="488"/>
      <c r="F133" s="488"/>
      <c r="G133" s="488"/>
      <c r="H133" s="489"/>
      <c r="I133" s="474"/>
      <c r="J133" s="473"/>
    </row>
    <row r="134" spans="1:12" s="479" customFormat="1" x14ac:dyDescent="0.25">
      <c r="A134" s="486" t="s">
        <v>744</v>
      </c>
      <c r="B134" s="608"/>
      <c r="C134" s="487"/>
      <c r="D134" s="488"/>
      <c r="E134" s="488"/>
      <c r="F134" s="488"/>
      <c r="G134" s="488"/>
      <c r="H134" s="489"/>
      <c r="I134" s="474"/>
      <c r="J134" s="473"/>
    </row>
    <row r="135" spans="1:12" s="479" customFormat="1" x14ac:dyDescent="0.25">
      <c r="A135" s="486" t="s">
        <v>742</v>
      </c>
      <c r="B135" s="609">
        <v>1.00295</v>
      </c>
      <c r="C135" s="487"/>
      <c r="D135" s="488"/>
      <c r="E135" s="488"/>
      <c r="F135" s="488"/>
      <c r="G135" s="488"/>
      <c r="H135" s="489"/>
      <c r="I135" s="474"/>
      <c r="J135" s="473"/>
    </row>
    <row r="136" spans="1:12" s="479" customFormat="1" x14ac:dyDescent="0.25">
      <c r="A136" s="486" t="s">
        <v>743</v>
      </c>
      <c r="B136" s="609">
        <v>1.0030300000000001</v>
      </c>
      <c r="C136" s="487"/>
      <c r="D136" s="488"/>
      <c r="E136" s="488"/>
      <c r="F136" s="488"/>
      <c r="G136" s="488"/>
      <c r="H136" s="489"/>
      <c r="I136" s="474"/>
      <c r="J136" s="473"/>
    </row>
    <row r="137" spans="1:12" s="479" customFormat="1" x14ac:dyDescent="0.25">
      <c r="A137" s="480" t="s">
        <v>745</v>
      </c>
      <c r="B137" s="481"/>
      <c r="C137" s="481"/>
      <c r="D137" s="482"/>
      <c r="E137" s="482"/>
      <c r="F137" s="482"/>
      <c r="G137" s="482"/>
      <c r="H137" s="483"/>
      <c r="I137" s="474">
        <f>ROUND((1.00295^6+1.00295^11)/2,4)</f>
        <v>1.0254000000000001</v>
      </c>
      <c r="J137" s="484"/>
    </row>
    <row r="138" spans="1:12" s="479" customFormat="1" x14ac:dyDescent="0.25">
      <c r="A138" s="480" t="s">
        <v>747</v>
      </c>
      <c r="B138" s="481"/>
      <c r="C138" s="481"/>
      <c r="D138" s="482"/>
      <c r="E138" s="482"/>
      <c r="F138" s="482"/>
      <c r="G138" s="482"/>
      <c r="H138" s="483"/>
      <c r="I138" s="474">
        <f>ROUND(1.00295^11*(1.00303+1.00303^6)/2,4)</f>
        <v>1.044</v>
      </c>
      <c r="J138" s="485"/>
    </row>
    <row r="139" spans="1:12" s="479" customFormat="1" x14ac:dyDescent="0.25">
      <c r="A139" s="480" t="s">
        <v>748</v>
      </c>
      <c r="B139" s="486"/>
      <c r="C139" s="486"/>
      <c r="D139" s="488"/>
      <c r="E139" s="488"/>
      <c r="F139" s="488"/>
      <c r="G139" s="488"/>
      <c r="H139" s="489"/>
      <c r="I139" s="615">
        <f>ROUND(0.15*1+0.425*1.0254+0.425*1.044,4)</f>
        <v>1.0295000000000001</v>
      </c>
      <c r="J139" s="478"/>
    </row>
    <row r="140" spans="1:12" s="479" customFormat="1" x14ac:dyDescent="0.25">
      <c r="A140" s="490"/>
      <c r="B140" s="488"/>
      <c r="C140" s="482"/>
      <c r="D140" s="482"/>
      <c r="E140" s="482"/>
      <c r="F140" s="482"/>
      <c r="G140" s="482"/>
      <c r="H140" s="474"/>
      <c r="I140" s="474"/>
      <c r="J140" s="478"/>
    </row>
    <row r="141" spans="1:12" s="479" customFormat="1" x14ac:dyDescent="0.25">
      <c r="A141" s="494" t="s">
        <v>665</v>
      </c>
      <c r="B141" s="495"/>
      <c r="C141" s="474"/>
      <c r="D141" s="474"/>
      <c r="E141" s="474"/>
      <c r="F141" s="474"/>
      <c r="G141" s="474"/>
      <c r="H141" s="474"/>
      <c r="I141" s="474"/>
      <c r="J141" s="473"/>
    </row>
    <row r="142" spans="1:12" s="479" customFormat="1" x14ac:dyDescent="0.25">
      <c r="A142" s="494" t="s">
        <v>655</v>
      </c>
      <c r="B142" s="495"/>
      <c r="C142" s="474"/>
      <c r="D142" s="474"/>
      <c r="E142" s="474"/>
      <c r="F142" s="474"/>
      <c r="G142" s="474"/>
      <c r="H142" s="474"/>
      <c r="I142" s="474"/>
      <c r="J142" s="473"/>
    </row>
    <row r="143" spans="1:12" s="479" customFormat="1" x14ac:dyDescent="0.25">
      <c r="A143" s="486" t="s">
        <v>658</v>
      </c>
      <c r="B143" s="495"/>
      <c r="C143" s="474"/>
      <c r="D143" s="474"/>
      <c r="E143" s="474"/>
      <c r="F143" s="474"/>
      <c r="G143" s="474"/>
      <c r="H143" s="474"/>
      <c r="I143" s="492">
        <f>174.13/1.2*183*24*1</f>
        <v>637315.80000000005</v>
      </c>
      <c r="J143" s="492"/>
    </row>
    <row r="144" spans="1:12" s="479" customFormat="1" x14ac:dyDescent="0.25">
      <c r="A144" s="494" t="s">
        <v>656</v>
      </c>
      <c r="B144" s="495"/>
      <c r="C144" s="474"/>
      <c r="D144" s="474"/>
      <c r="E144" s="474"/>
      <c r="F144" s="474"/>
      <c r="G144" s="474"/>
      <c r="H144" s="474"/>
      <c r="I144" s="474"/>
      <c r="J144" s="485"/>
    </row>
    <row r="145" spans="1:10" s="479" customFormat="1" x14ac:dyDescent="0.25">
      <c r="A145" s="486" t="s">
        <v>659</v>
      </c>
      <c r="B145" s="495"/>
      <c r="C145" s="474"/>
      <c r="D145" s="474"/>
      <c r="E145" s="474"/>
      <c r="F145" s="474"/>
      <c r="G145" s="474"/>
      <c r="H145" s="474"/>
      <c r="I145" s="492">
        <f>177.35/1.2*1*24*182</f>
        <v>645554</v>
      </c>
      <c r="J145" s="492"/>
    </row>
    <row r="146" spans="1:10" s="479" customFormat="1" x14ac:dyDescent="0.25">
      <c r="A146" s="486" t="s">
        <v>666</v>
      </c>
      <c r="B146" s="495"/>
      <c r="C146" s="474"/>
      <c r="D146" s="474"/>
      <c r="E146" s="474"/>
      <c r="F146" s="474"/>
      <c r="G146" s="474"/>
      <c r="H146" s="474"/>
      <c r="I146" s="496">
        <f ca="1">SUM(I143:I146)</f>
        <v>37077502959.592041</v>
      </c>
      <c r="J146" s="493"/>
    </row>
    <row r="147" spans="1:10" x14ac:dyDescent="0.25">
      <c r="A147" s="312"/>
      <c r="B147" s="312"/>
      <c r="C147" s="312"/>
      <c r="D147" s="312"/>
      <c r="E147" s="312"/>
      <c r="F147" s="312"/>
      <c r="G147" s="312"/>
      <c r="H147" s="312"/>
      <c r="I147" s="312"/>
      <c r="J147" s="312"/>
    </row>
    <row r="148" spans="1:10" ht="23.45" customHeight="1" x14ac:dyDescent="0.25">
      <c r="A148" s="312"/>
      <c r="B148" s="312"/>
      <c r="C148" s="312"/>
      <c r="D148" s="312"/>
      <c r="E148" s="312"/>
      <c r="F148" s="312"/>
      <c r="G148" s="312"/>
      <c r="H148" s="313"/>
      <c r="I148" s="312"/>
      <c r="J148" s="312"/>
    </row>
    <row r="149" spans="1:10" ht="123.75" customHeight="1" thickBot="1" x14ac:dyDescent="0.3">
      <c r="A149" s="314" t="s">
        <v>475</v>
      </c>
      <c r="B149" s="314" t="s">
        <v>749</v>
      </c>
      <c r="C149" s="314" t="s">
        <v>476</v>
      </c>
      <c r="D149" s="314" t="s">
        <v>746</v>
      </c>
      <c r="E149" s="314" t="s">
        <v>477</v>
      </c>
      <c r="F149" s="314" t="s">
        <v>478</v>
      </c>
      <c r="G149" s="315">
        <v>0.05</v>
      </c>
      <c r="H149" s="314" t="s">
        <v>478</v>
      </c>
      <c r="I149" s="535"/>
      <c r="J149" s="312"/>
    </row>
    <row r="150" spans="1:10" s="500" customFormat="1" ht="40.5" customHeight="1" x14ac:dyDescent="0.25">
      <c r="A150" s="516" t="s">
        <v>483</v>
      </c>
      <c r="B150" s="627" t="e">
        <f>B35+B76+B118</f>
        <v>#REF!</v>
      </c>
      <c r="C150" s="517"/>
      <c r="D150" s="517" t="e">
        <f>D35+D76+D118</f>
        <v>#REF!</v>
      </c>
      <c r="E150" s="517"/>
      <c r="F150" s="517" t="e">
        <f>F35+F76+F118</f>
        <v>#REF!</v>
      </c>
      <c r="G150" s="517"/>
      <c r="H150" s="518" t="e">
        <f>H118+H76+H35</f>
        <v>#REF!</v>
      </c>
      <c r="I150" s="513"/>
      <c r="J150" s="617"/>
    </row>
    <row r="151" spans="1:10" s="500" customFormat="1" ht="40.5" customHeight="1" x14ac:dyDescent="0.25">
      <c r="A151" s="503" t="s">
        <v>756</v>
      </c>
      <c r="B151" s="628"/>
      <c r="C151" s="629"/>
      <c r="D151" s="629"/>
      <c r="E151" s="629"/>
      <c r="F151" s="629"/>
      <c r="G151" s="629"/>
      <c r="H151" s="630" t="e">
        <f>H119+H77+H36</f>
        <v>#REF!</v>
      </c>
      <c r="I151" s="513"/>
      <c r="J151" s="617"/>
    </row>
    <row r="152" spans="1:10" x14ac:dyDescent="0.25">
      <c r="A152" s="519" t="s">
        <v>46</v>
      </c>
      <c r="B152" s="564" t="e">
        <f>B37+B78+B120</f>
        <v>#REF!</v>
      </c>
      <c r="C152" s="317"/>
      <c r="D152" s="317" t="e">
        <f>D37+D78+D120</f>
        <v>#REF!</v>
      </c>
      <c r="E152" s="317"/>
      <c r="F152" s="317" t="e">
        <f>F37+F78+F120</f>
        <v>#REF!</v>
      </c>
      <c r="G152" s="317"/>
      <c r="H152" s="520" t="e">
        <f>H120+H78+H37</f>
        <v>#REF!</v>
      </c>
      <c r="I152" s="631"/>
      <c r="J152" s="622"/>
    </row>
    <row r="153" spans="1:10" s="500" customFormat="1" ht="15.75" thickBot="1" x14ac:dyDescent="0.3">
      <c r="A153" s="521" t="s">
        <v>484</v>
      </c>
      <c r="B153" s="565" t="e">
        <f>B38+B79+B121</f>
        <v>#REF!</v>
      </c>
      <c r="C153" s="522"/>
      <c r="D153" s="522" t="e">
        <f>D38+D79+D121</f>
        <v>#REF!</v>
      </c>
      <c r="E153" s="522"/>
      <c r="F153" s="522" t="e">
        <f>F38+F79+F121</f>
        <v>#REF!</v>
      </c>
      <c r="G153" s="522"/>
      <c r="H153" s="523" t="e">
        <f>H121+H79+H38</f>
        <v>#REF!</v>
      </c>
      <c r="I153" s="513"/>
      <c r="J153" s="618"/>
    </row>
    <row r="154" spans="1:10" s="500" customFormat="1" x14ac:dyDescent="0.25">
      <c r="A154" s="514"/>
      <c r="B154" s="515"/>
      <c r="C154" s="515"/>
      <c r="D154" s="515"/>
      <c r="E154" s="515"/>
      <c r="F154" s="515"/>
      <c r="G154" s="515"/>
      <c r="H154" s="515"/>
      <c r="I154" s="499"/>
      <c r="J154" s="624"/>
    </row>
    <row r="155" spans="1:10" s="334" customFormat="1" ht="20.25" customHeight="1" x14ac:dyDescent="0.2">
      <c r="A155" s="692" t="s">
        <v>714</v>
      </c>
      <c r="B155" s="693"/>
      <c r="C155" s="693"/>
      <c r="D155" s="693"/>
      <c r="E155" s="693"/>
      <c r="F155" s="693"/>
      <c r="G155" s="693"/>
      <c r="H155" s="693"/>
      <c r="J155" s="625"/>
    </row>
    <row r="156" spans="1:10" s="334" customFormat="1" ht="12.75" x14ac:dyDescent="0.2">
      <c r="A156" s="692" t="s">
        <v>487</v>
      </c>
      <c r="B156" s="693"/>
      <c r="C156" s="693"/>
      <c r="D156" s="693"/>
      <c r="E156" s="693"/>
      <c r="F156" s="693"/>
      <c r="G156" s="693"/>
      <c r="H156" s="693"/>
      <c r="I156" s="536"/>
      <c r="J156" s="625"/>
    </row>
    <row r="157" spans="1:10" s="334" customFormat="1" ht="20.25" customHeight="1" x14ac:dyDescent="0.2">
      <c r="A157" s="692" t="s">
        <v>715</v>
      </c>
      <c r="B157" s="693"/>
      <c r="C157" s="693"/>
      <c r="D157" s="693"/>
      <c r="E157" s="693"/>
      <c r="F157" s="693"/>
      <c r="G157" s="693"/>
      <c r="H157" s="693"/>
      <c r="J157" s="625"/>
    </row>
    <row r="158" spans="1:10" s="334" customFormat="1" ht="12.75" x14ac:dyDescent="0.2">
      <c r="A158" s="692" t="s">
        <v>485</v>
      </c>
      <c r="B158" s="693"/>
      <c r="C158" s="693"/>
      <c r="D158" s="693"/>
      <c r="E158" s="693"/>
      <c r="F158" s="693"/>
      <c r="G158" s="693"/>
      <c r="H158" s="693"/>
      <c r="I158" s="536"/>
      <c r="J158" s="625"/>
    </row>
    <row r="159" spans="1:10" s="334" customFormat="1" ht="12.75" x14ac:dyDescent="0.2">
      <c r="A159" s="692" t="s">
        <v>486</v>
      </c>
      <c r="B159" s="693"/>
      <c r="C159" s="693"/>
      <c r="D159" s="693"/>
      <c r="E159" s="693"/>
      <c r="F159" s="693"/>
      <c r="G159" s="693"/>
      <c r="H159" s="693"/>
      <c r="J159" s="625"/>
    </row>
    <row r="160" spans="1:10" s="334" customFormat="1" ht="12.75" x14ac:dyDescent="0.2">
      <c r="A160" s="692" t="s">
        <v>487</v>
      </c>
      <c r="B160" s="693"/>
      <c r="C160" s="693"/>
      <c r="D160" s="693"/>
      <c r="E160" s="693"/>
      <c r="F160" s="693"/>
      <c r="G160" s="693"/>
      <c r="H160" s="693"/>
      <c r="J160" s="625"/>
    </row>
    <row r="161" spans="1:10" s="334" customFormat="1" ht="12.75" x14ac:dyDescent="0.2">
      <c r="A161" s="342"/>
      <c r="B161" s="343"/>
      <c r="C161" s="343"/>
      <c r="D161" s="343"/>
      <c r="E161" s="343"/>
      <c r="F161" s="343"/>
      <c r="G161" s="343"/>
      <c r="H161" s="343"/>
      <c r="J161" s="625"/>
    </row>
    <row r="162" spans="1:10" x14ac:dyDescent="0.25">
      <c r="J162" s="626"/>
    </row>
    <row r="163" spans="1:10" x14ac:dyDescent="0.25">
      <c r="J163" s="626"/>
    </row>
    <row r="164" spans="1:10" ht="18.75" x14ac:dyDescent="0.3">
      <c r="A164" s="324"/>
      <c r="B164" s="324"/>
      <c r="C164" s="325"/>
      <c r="D164" s="325"/>
      <c r="E164" s="326"/>
      <c r="F164" s="326"/>
      <c r="J164" s="626"/>
    </row>
    <row r="165" spans="1:10" ht="18.75" x14ac:dyDescent="0.3">
      <c r="A165" s="327"/>
      <c r="B165" s="326"/>
      <c r="C165" s="328"/>
      <c r="D165" s="329"/>
      <c r="E165" s="328"/>
      <c r="H165" s="328"/>
      <c r="J165" s="626"/>
    </row>
    <row r="166" spans="1:10" ht="18" x14ac:dyDescent="0.25">
      <c r="A166" s="330"/>
      <c r="B166" s="331"/>
      <c r="C166" s="332"/>
      <c r="D166" s="332"/>
      <c r="E166" s="333"/>
      <c r="F166" s="333"/>
      <c r="I166" s="566"/>
    </row>
    <row r="167" spans="1:10" ht="18" x14ac:dyDescent="0.25">
      <c r="A167" s="330"/>
      <c r="B167" s="331"/>
      <c r="C167" s="332"/>
      <c r="D167" s="332"/>
      <c r="E167" s="333"/>
      <c r="F167" s="333"/>
    </row>
    <row r="170" spans="1:10" x14ac:dyDescent="0.25">
      <c r="I170" s="566"/>
    </row>
    <row r="174" spans="1:10" x14ac:dyDescent="0.25">
      <c r="H174" s="566" t="e">
        <f>H26+H67+H109</f>
        <v>#REF!</v>
      </c>
    </row>
    <row r="175" spans="1:10" x14ac:dyDescent="0.25">
      <c r="H175" s="311" t="e">
        <f>H174*1.2</f>
        <v>#REF!</v>
      </c>
    </row>
    <row r="176" spans="1:10" x14ac:dyDescent="0.25">
      <c r="I176" s="566"/>
    </row>
    <row r="180" spans="9:9" x14ac:dyDescent="0.25">
      <c r="I180" s="566"/>
    </row>
  </sheetData>
  <mergeCells count="42">
    <mergeCell ref="A9:H9"/>
    <mergeCell ref="A10:H10"/>
    <mergeCell ref="A11:H11"/>
    <mergeCell ref="A18:H18"/>
    <mergeCell ref="A19:H19"/>
    <mergeCell ref="A20:H20"/>
    <mergeCell ref="A21:H21"/>
    <mergeCell ref="A22:H22"/>
    <mergeCell ref="A13:H13"/>
    <mergeCell ref="A14:H14"/>
    <mergeCell ref="A15:H15"/>
    <mergeCell ref="A16:H16"/>
    <mergeCell ref="A17:H17"/>
    <mergeCell ref="A5:H5"/>
    <mergeCell ref="A6:H6"/>
    <mergeCell ref="A8:H8"/>
    <mergeCell ref="A1:H1"/>
    <mergeCell ref="A2:H2"/>
    <mergeCell ref="A3:H3"/>
    <mergeCell ref="A4:H4"/>
    <mergeCell ref="A24:H24"/>
    <mergeCell ref="A39:H39"/>
    <mergeCell ref="A40:B40"/>
    <mergeCell ref="A64:H64"/>
    <mergeCell ref="A65:H65"/>
    <mergeCell ref="A43:B43"/>
    <mergeCell ref="A44:H44"/>
    <mergeCell ref="A81:H81"/>
    <mergeCell ref="A82:B82"/>
    <mergeCell ref="A158:H158"/>
    <mergeCell ref="A122:H122"/>
    <mergeCell ref="A123:B123"/>
    <mergeCell ref="A85:B85"/>
    <mergeCell ref="A86:H86"/>
    <mergeCell ref="A159:H159"/>
    <mergeCell ref="A160:H160"/>
    <mergeCell ref="A157:H157"/>
    <mergeCell ref="A107:H107"/>
    <mergeCell ref="A126:B126"/>
    <mergeCell ref="A155:H155"/>
    <mergeCell ref="A156:H156"/>
    <mergeCell ref="A127:H127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colBreaks count="1" manualBreakCount="1">
    <brk id="8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0.39997558519241921"/>
    <pageSetUpPr fitToPage="1"/>
  </sheetPr>
  <dimension ref="A1:P33"/>
  <sheetViews>
    <sheetView showGridLines="0" view="pageBreakPreview" zoomScale="60" zoomScaleNormal="10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6" x14ac:dyDescent="0.25">
      <c r="A2" s="50"/>
      <c r="B2" s="41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46" t="s">
        <v>574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6" s="53" customFormat="1" ht="33.75" customHeight="1" x14ac:dyDescent="0.25">
      <c r="A4" s="828" t="s">
        <v>575</v>
      </c>
      <c r="B4" s="829"/>
      <c r="C4" s="829"/>
      <c r="D4" s="829"/>
      <c r="E4" s="829"/>
      <c r="F4" s="829"/>
      <c r="G4" s="829"/>
      <c r="H4" s="829"/>
      <c r="I4" s="829"/>
      <c r="J4" s="829"/>
      <c r="K4" s="829"/>
      <c r="L4" s="829"/>
    </row>
    <row r="5" spans="1:16" ht="48" customHeight="1" x14ac:dyDescent="0.25">
      <c r="A5" s="50" t="s">
        <v>20</v>
      </c>
      <c r="B5" s="750" t="s">
        <v>780</v>
      </c>
      <c r="C5" s="750"/>
      <c r="D5" s="750"/>
      <c r="E5" s="750"/>
      <c r="F5" s="750"/>
      <c r="G5" s="750"/>
      <c r="H5" s="750"/>
      <c r="I5" s="750"/>
      <c r="J5" s="750"/>
      <c r="K5" s="750"/>
      <c r="L5" s="750"/>
    </row>
    <row r="6" spans="1:16" ht="13.5" customHeight="1" x14ac:dyDescent="0.25">
      <c r="A6" s="54" t="s">
        <v>97</v>
      </c>
      <c r="B6" s="830" t="s">
        <v>98</v>
      </c>
      <c r="C6" s="751" t="s">
        <v>99</v>
      </c>
      <c r="D6" s="755"/>
      <c r="E6" s="755"/>
      <c r="F6" s="755"/>
      <c r="G6" s="752"/>
      <c r="H6" s="751" t="s">
        <v>100</v>
      </c>
      <c r="I6" s="755"/>
      <c r="J6" s="755"/>
      <c r="K6" s="755"/>
      <c r="L6" s="752"/>
    </row>
    <row r="7" spans="1:16" ht="28.5" customHeight="1" x14ac:dyDescent="0.25">
      <c r="A7" s="55" t="s">
        <v>19</v>
      </c>
      <c r="B7" s="831"/>
      <c r="C7" s="760"/>
      <c r="D7" s="761"/>
      <c r="E7" s="761"/>
      <c r="F7" s="761"/>
      <c r="G7" s="762"/>
      <c r="H7" s="753" t="s">
        <v>559</v>
      </c>
      <c r="I7" s="756"/>
      <c r="J7" s="756"/>
      <c r="K7" s="756"/>
      <c r="L7" s="754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413"/>
      <c r="K8" s="413"/>
      <c r="L8" s="414"/>
    </row>
    <row r="9" spans="1:16" ht="22.5" customHeight="1" x14ac:dyDescent="0.25">
      <c r="A9" s="50" t="s">
        <v>102</v>
      </c>
      <c r="B9" s="741" t="s">
        <v>577</v>
      </c>
      <c r="C9" s="721"/>
      <c r="D9" s="774" t="s">
        <v>578</v>
      </c>
      <c r="E9" s="774"/>
      <c r="F9" s="774"/>
      <c r="G9" s="774"/>
      <c r="H9" s="774"/>
      <c r="I9" s="774" t="s">
        <v>583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579</v>
      </c>
      <c r="C10" s="721"/>
      <c r="D10" s="742">
        <f>D12+D13+D14+F15</f>
        <v>5403.0428300000003</v>
      </c>
      <c r="E10" s="742"/>
      <c r="F10" s="742"/>
      <c r="G10" s="742"/>
      <c r="H10" s="742"/>
      <c r="I10" s="742">
        <f>I12+I13+I14+I15+I16+I17+I18+I19</f>
        <v>1874.4285678047138</v>
      </c>
      <c r="J10" s="742"/>
      <c r="K10" s="742"/>
      <c r="L10" s="743"/>
      <c r="O10" s="235"/>
    </row>
    <row r="11" spans="1:16" x14ac:dyDescent="0.25">
      <c r="A11" s="65"/>
      <c r="B11" s="735" t="s">
        <v>106</v>
      </c>
      <c r="C11" s="735"/>
      <c r="D11" s="405"/>
      <c r="E11" s="736"/>
      <c r="F11" s="736"/>
      <c r="G11" s="736"/>
      <c r="H11" s="736"/>
      <c r="I11" s="736"/>
      <c r="J11" s="68"/>
      <c r="K11" s="68"/>
      <c r="L11" s="69"/>
    </row>
    <row r="12" spans="1:16" x14ac:dyDescent="0.25">
      <c r="A12" s="65"/>
      <c r="B12" s="735" t="s">
        <v>107</v>
      </c>
      <c r="C12" s="735"/>
      <c r="D12" s="736">
        <f>C31</f>
        <v>4908.7805200000003</v>
      </c>
      <c r="E12" s="736"/>
      <c r="F12" s="736"/>
      <c r="G12" s="736"/>
      <c r="H12" s="736"/>
      <c r="I12" s="736">
        <f>H31</f>
        <v>1588.0567095209581</v>
      </c>
      <c r="J12" s="736"/>
      <c r="K12" s="736"/>
      <c r="L12" s="773"/>
    </row>
    <row r="13" spans="1:16" x14ac:dyDescent="0.25">
      <c r="A13" s="65"/>
      <c r="B13" s="735" t="s">
        <v>108</v>
      </c>
      <c r="C13" s="735"/>
      <c r="D13" s="736">
        <f>D31</f>
        <v>0</v>
      </c>
      <c r="E13" s="736"/>
      <c r="F13" s="736"/>
      <c r="G13" s="736"/>
      <c r="H13" s="736"/>
      <c r="I13" s="736">
        <f>I31</f>
        <v>0</v>
      </c>
      <c r="J13" s="736"/>
      <c r="K13" s="736"/>
      <c r="L13" s="773"/>
      <c r="P13" s="53"/>
    </row>
    <row r="14" spans="1:16" x14ac:dyDescent="0.25">
      <c r="A14" s="65"/>
      <c r="B14" s="735" t="s">
        <v>109</v>
      </c>
      <c r="C14" s="735"/>
      <c r="D14" s="736">
        <f>E31</f>
        <v>0</v>
      </c>
      <c r="E14" s="736"/>
      <c r="F14" s="736"/>
      <c r="G14" s="736"/>
      <c r="H14" s="736"/>
      <c r="I14" s="736">
        <f>J31</f>
        <v>0</v>
      </c>
      <c r="J14" s="736"/>
      <c r="K14" s="736"/>
      <c r="L14" s="773"/>
    </row>
    <row r="15" spans="1:16" x14ac:dyDescent="0.25">
      <c r="A15" s="65"/>
      <c r="B15" s="404" t="s">
        <v>110</v>
      </c>
      <c r="C15" s="404"/>
      <c r="D15" s="736">
        <f>F31</f>
        <v>494.26231000000001</v>
      </c>
      <c r="E15" s="736"/>
      <c r="F15" s="736">
        <f>F31</f>
        <v>494.26231000000001</v>
      </c>
      <c r="G15" s="736"/>
      <c r="H15" s="736"/>
      <c r="I15" s="736">
        <f>K31</f>
        <v>147.98272754491018</v>
      </c>
      <c r="J15" s="736"/>
      <c r="K15" s="736"/>
      <c r="L15" s="773"/>
    </row>
    <row r="16" spans="1:16" x14ac:dyDescent="0.25">
      <c r="A16" s="65"/>
      <c r="B16" s="404" t="s">
        <v>85</v>
      </c>
      <c r="C16" s="404"/>
      <c r="D16" s="405"/>
      <c r="E16" s="405"/>
      <c r="F16" s="405"/>
      <c r="G16" s="405"/>
      <c r="H16" s="405"/>
      <c r="I16" s="736">
        <f>(I12+I13)*0.015</f>
        <v>23.820850642814371</v>
      </c>
      <c r="J16" s="736"/>
      <c r="K16" s="736"/>
      <c r="L16" s="773"/>
    </row>
    <row r="17" spans="1:13" x14ac:dyDescent="0.25">
      <c r="A17" s="65"/>
      <c r="B17" s="404" t="s">
        <v>39</v>
      </c>
      <c r="C17" s="404"/>
      <c r="D17" s="405"/>
      <c r="E17" s="405"/>
      <c r="F17" s="405"/>
      <c r="G17" s="405"/>
      <c r="H17" s="405"/>
      <c r="I17" s="736">
        <f>(I12+I13)*0.029</f>
        <v>46.053644576107786</v>
      </c>
      <c r="J17" s="736"/>
      <c r="K17" s="736"/>
      <c r="L17" s="773"/>
    </row>
    <row r="18" spans="1:13" x14ac:dyDescent="0.25">
      <c r="A18" s="65"/>
      <c r="B18" s="404" t="s">
        <v>40</v>
      </c>
      <c r="C18" s="404"/>
      <c r="D18" s="405"/>
      <c r="E18" s="405"/>
      <c r="F18" s="405"/>
      <c r="G18" s="405"/>
      <c r="H18" s="405"/>
      <c r="I18" s="736">
        <f>(I12+I13)*0.02</f>
        <v>31.761134190419163</v>
      </c>
      <c r="J18" s="736"/>
      <c r="K18" s="736"/>
      <c r="L18" s="773"/>
    </row>
    <row r="19" spans="1:13" x14ac:dyDescent="0.25">
      <c r="A19" s="65"/>
      <c r="B19" s="404" t="s">
        <v>163</v>
      </c>
      <c r="C19" s="404"/>
      <c r="D19" s="405"/>
      <c r="E19" s="405"/>
      <c r="F19" s="405"/>
      <c r="G19" s="405"/>
      <c r="H19" s="405"/>
      <c r="I19" s="736">
        <f>(I12+I15+I16+I17+I18+I14+I13)*0.02</f>
        <v>36.753501329504196</v>
      </c>
      <c r="J19" s="736"/>
      <c r="K19" s="736"/>
      <c r="L19" s="773"/>
    </row>
    <row r="20" spans="1:13" s="578" customFormat="1" x14ac:dyDescent="0.25">
      <c r="A20" s="576"/>
      <c r="B20" s="571" t="s">
        <v>728</v>
      </c>
      <c r="C20" s="571"/>
      <c r="D20" s="562"/>
      <c r="E20" s="562"/>
      <c r="F20" s="562"/>
      <c r="G20" s="562"/>
      <c r="H20" s="562"/>
      <c r="I20" s="562"/>
      <c r="J20" s="832">
        <f>I10*M20</f>
        <v>1872.92902495047</v>
      </c>
      <c r="K20" s="832"/>
      <c r="L20" s="577"/>
      <c r="M20" s="578">
        <f>[16]МГЭ!$I$8</f>
        <v>0.99919999999999998</v>
      </c>
    </row>
    <row r="21" spans="1:13" x14ac:dyDescent="0.25">
      <c r="A21" s="65"/>
      <c r="B21" s="208" t="s">
        <v>314</v>
      </c>
      <c r="C21" s="208"/>
      <c r="D21" s="208"/>
      <c r="E21" s="208"/>
      <c r="F21" s="208"/>
      <c r="G21" s="208"/>
      <c r="H21" s="208"/>
      <c r="I21" s="101">
        <f>J20/25</f>
        <v>74.917160998018801</v>
      </c>
      <c r="J21" s="101"/>
      <c r="K21" s="101"/>
      <c r="L21" s="102"/>
    </row>
    <row r="22" spans="1:13" x14ac:dyDescent="0.25">
      <c r="A22" s="50"/>
      <c r="B22" s="208"/>
      <c r="C22" s="208"/>
      <c r="D22" s="401"/>
      <c r="E22" s="401"/>
      <c r="F22" s="401"/>
      <c r="G22" s="401"/>
      <c r="H22" s="52"/>
      <c r="I22" s="243"/>
      <c r="J22" s="52"/>
      <c r="K22" s="52"/>
      <c r="L22" s="155"/>
    </row>
    <row r="23" spans="1:13" x14ac:dyDescent="0.25">
      <c r="A23" s="833" t="s">
        <v>580</v>
      </c>
      <c r="B23" s="826"/>
      <c r="C23" s="826"/>
      <c r="D23" s="826"/>
      <c r="E23" s="826"/>
      <c r="F23" s="826"/>
      <c r="G23" s="826"/>
      <c r="H23" s="826"/>
      <c r="I23" s="826"/>
      <c r="J23" s="826"/>
      <c r="K23" s="826"/>
      <c r="L23" s="834"/>
    </row>
    <row r="24" spans="1:13" ht="13.5" customHeight="1" x14ac:dyDescent="0.25">
      <c r="A24" s="723" t="s">
        <v>112</v>
      </c>
      <c r="B24" s="726" t="s">
        <v>113</v>
      </c>
      <c r="C24" s="729" t="s">
        <v>99</v>
      </c>
      <c r="D24" s="730"/>
      <c r="E24" s="730"/>
      <c r="F24" s="730"/>
      <c r="G24" s="731"/>
      <c r="H24" s="729" t="s">
        <v>100</v>
      </c>
      <c r="I24" s="730"/>
      <c r="J24" s="730"/>
      <c r="K24" s="730"/>
      <c r="L24" s="731"/>
    </row>
    <row r="25" spans="1:13" ht="33" customHeight="1" x14ac:dyDescent="0.25">
      <c r="A25" s="724"/>
      <c r="B25" s="727"/>
      <c r="C25" s="835"/>
      <c r="D25" s="836"/>
      <c r="E25" s="836"/>
      <c r="F25" s="836"/>
      <c r="G25" s="837"/>
      <c r="H25" s="732" t="s">
        <v>559</v>
      </c>
      <c r="I25" s="733"/>
      <c r="J25" s="733"/>
      <c r="K25" s="733"/>
      <c r="L25" s="734"/>
    </row>
    <row r="26" spans="1:13" x14ac:dyDescent="0.25">
      <c r="A26" s="725"/>
      <c r="B26" s="728"/>
      <c r="C26" s="72" t="s">
        <v>114</v>
      </c>
      <c r="D26" s="406" t="s">
        <v>115</v>
      </c>
      <c r="E26" s="406" t="s">
        <v>116</v>
      </c>
      <c r="F26" s="406" t="s">
        <v>13</v>
      </c>
      <c r="G26" s="407" t="s">
        <v>117</v>
      </c>
      <c r="H26" s="72" t="s">
        <v>114</v>
      </c>
      <c r="I26" s="406" t="s">
        <v>115</v>
      </c>
      <c r="J26" s="406" t="s">
        <v>116</v>
      </c>
      <c r="K26" s="406" t="s">
        <v>13</v>
      </c>
      <c r="L26" s="407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x14ac:dyDescent="0.25">
      <c r="A28" s="238" t="s">
        <v>118</v>
      </c>
      <c r="B28" s="239" t="s">
        <v>581</v>
      </c>
      <c r="C28" s="424">
        <f>3375048.28/1000</f>
        <v>3375.04828</v>
      </c>
      <c r="D28" s="425">
        <v>0</v>
      </c>
      <c r="E28" s="425">
        <v>0</v>
      </c>
      <c r="F28" s="425">
        <f>333170.55/1000+161091.76/1000</f>
        <v>494.26231000000001</v>
      </c>
      <c r="G28" s="426">
        <f t="shared" ref="G28:G30" si="0">F28+E28+D28+C28</f>
        <v>3869.31059</v>
      </c>
      <c r="H28" s="424">
        <f>C28/83.5*25</f>
        <v>1010.4934970059879</v>
      </c>
      <c r="I28" s="425">
        <f t="shared" ref="I28:J28" si="1">D28/225.85*125</f>
        <v>0</v>
      </c>
      <c r="J28" s="425">
        <f t="shared" si="1"/>
        <v>0</v>
      </c>
      <c r="K28" s="425">
        <f>F28/83.5*25</f>
        <v>147.98272754491018</v>
      </c>
      <c r="L28" s="426">
        <f>K28+J28+I28+H28</f>
        <v>1158.4762245508982</v>
      </c>
    </row>
    <row r="29" spans="1:13" s="84" customFormat="1" x14ac:dyDescent="0.25">
      <c r="A29" s="238" t="s">
        <v>172</v>
      </c>
      <c r="B29" s="86" t="s">
        <v>576</v>
      </c>
      <c r="C29" s="240">
        <f>1364788.27/1000</f>
        <v>1364.78827</v>
      </c>
      <c r="D29" s="241">
        <v>0</v>
      </c>
      <c r="E29" s="241">
        <v>0</v>
      </c>
      <c r="F29" s="241">
        <v>0</v>
      </c>
      <c r="G29" s="426">
        <f t="shared" si="0"/>
        <v>1364.78827</v>
      </c>
      <c r="H29" s="424">
        <f>C29/83.5*25</f>
        <v>408.6192425149701</v>
      </c>
      <c r="I29" s="425">
        <f t="shared" ref="I29" si="2">D29/225.85*125</f>
        <v>0</v>
      </c>
      <c r="J29" s="425">
        <f t="shared" ref="J29" si="3">E29/225.85*125</f>
        <v>0</v>
      </c>
      <c r="K29" s="425">
        <f>F29/83.5*25</f>
        <v>0</v>
      </c>
      <c r="L29" s="426">
        <f>K29+J29+I29+H29</f>
        <v>408.6192425149701</v>
      </c>
    </row>
    <row r="30" spans="1:13" s="84" customFormat="1" ht="31.5" x14ac:dyDescent="0.25">
      <c r="A30" s="238" t="s">
        <v>120</v>
      </c>
      <c r="B30" s="86" t="s">
        <v>582</v>
      </c>
      <c r="C30" s="240">
        <f>57543.92/1000+111400.05/1000</f>
        <v>168.94397000000001</v>
      </c>
      <c r="D30" s="241">
        <v>0</v>
      </c>
      <c r="E30" s="241">
        <v>0</v>
      </c>
      <c r="F30" s="241">
        <v>0</v>
      </c>
      <c r="G30" s="426">
        <f t="shared" si="0"/>
        <v>168.94397000000001</v>
      </c>
      <c r="H30" s="240">
        <f>C30</f>
        <v>168.94397000000001</v>
      </c>
      <c r="I30" s="241">
        <f>D30</f>
        <v>0</v>
      </c>
      <c r="J30" s="241">
        <f t="shared" ref="J30:K30" si="4">E30</f>
        <v>0</v>
      </c>
      <c r="K30" s="241">
        <f t="shared" si="4"/>
        <v>0</v>
      </c>
      <c r="L30" s="426">
        <f>K30+J30+I30+H30</f>
        <v>168.94397000000001</v>
      </c>
    </row>
    <row r="31" spans="1:13" s="53" customFormat="1" ht="21.75" customHeight="1" x14ac:dyDescent="0.25">
      <c r="A31" s="90"/>
      <c r="B31" s="91" t="s">
        <v>122</v>
      </c>
      <c r="C31" s="92">
        <f>SUM(C28:C30)</f>
        <v>4908.7805200000003</v>
      </c>
      <c r="D31" s="93">
        <f t="shared" ref="D31:L31" si="5">SUM(D28:D30)</f>
        <v>0</v>
      </c>
      <c r="E31" s="93">
        <f t="shared" si="5"/>
        <v>0</v>
      </c>
      <c r="F31" s="93">
        <f t="shared" si="5"/>
        <v>494.26231000000001</v>
      </c>
      <c r="G31" s="94">
        <f t="shared" si="5"/>
        <v>5403.0428300000003</v>
      </c>
      <c r="H31" s="92">
        <f t="shared" si="5"/>
        <v>1588.0567095209581</v>
      </c>
      <c r="I31" s="93">
        <f t="shared" si="5"/>
        <v>0</v>
      </c>
      <c r="J31" s="93">
        <f t="shared" si="5"/>
        <v>0</v>
      </c>
      <c r="K31" s="93">
        <f t="shared" si="5"/>
        <v>147.98272754491018</v>
      </c>
      <c r="L31" s="94">
        <f t="shared" si="5"/>
        <v>1736.0394370658685</v>
      </c>
    </row>
    <row r="32" spans="1:13" s="53" customFormat="1" x14ac:dyDescent="0.25">
      <c r="A32" s="127"/>
      <c r="B32" s="128"/>
      <c r="C32" s="129"/>
      <c r="D32" s="130"/>
      <c r="E32" s="130"/>
      <c r="F32" s="130"/>
      <c r="G32" s="131"/>
      <c r="H32" s="129"/>
      <c r="I32" s="130"/>
      <c r="J32" s="130"/>
      <c r="K32" s="130"/>
      <c r="L32" s="131"/>
    </row>
    <row r="33" spans="1:12" x14ac:dyDescent="0.25">
      <c r="A33" s="95"/>
      <c r="B33" s="96"/>
      <c r="C33" s="97"/>
      <c r="D33" s="97"/>
      <c r="E33" s="97"/>
      <c r="F33" s="97"/>
      <c r="G33" s="97"/>
      <c r="H33" s="97"/>
      <c r="I33" s="97"/>
      <c r="J33" s="97"/>
      <c r="K33" s="97"/>
      <c r="L33" s="98"/>
    </row>
  </sheetData>
  <mergeCells count="41">
    <mergeCell ref="A24:A26"/>
    <mergeCell ref="B24:B26"/>
    <mergeCell ref="C24:G24"/>
    <mergeCell ref="H24:L24"/>
    <mergeCell ref="C25:G25"/>
    <mergeCell ref="H25:L25"/>
    <mergeCell ref="I17:L17"/>
    <mergeCell ref="I18:L18"/>
    <mergeCell ref="I19:L19"/>
    <mergeCell ref="J20:K20"/>
    <mergeCell ref="A23:L23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D9:H9"/>
    <mergeCell ref="I9:L9"/>
    <mergeCell ref="B10:C10"/>
    <mergeCell ref="D10:H10"/>
    <mergeCell ref="I10:L10"/>
    <mergeCell ref="A1:L1"/>
    <mergeCell ref="A3:L3"/>
    <mergeCell ref="A4:L4"/>
    <mergeCell ref="B5:L5"/>
    <mergeCell ref="B6:B7"/>
    <mergeCell ref="C6:G6"/>
    <mergeCell ref="H6:L6"/>
    <mergeCell ref="C7:G7"/>
    <mergeCell ref="H7:L7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 tint="0.39997558519241921"/>
    <pageSetUpPr fitToPage="1"/>
  </sheetPr>
  <dimension ref="A1:P32"/>
  <sheetViews>
    <sheetView showGridLines="0" view="pageBreakPreview" zoomScale="60" zoomScaleNormal="10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6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46" t="s">
        <v>560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6" s="53" customFormat="1" ht="33.75" customHeight="1" x14ac:dyDescent="0.25">
      <c r="A4" s="828" t="s">
        <v>312</v>
      </c>
      <c r="B4" s="829"/>
      <c r="C4" s="829"/>
      <c r="D4" s="829"/>
      <c r="E4" s="829"/>
      <c r="F4" s="829"/>
      <c r="G4" s="829"/>
      <c r="H4" s="829"/>
      <c r="I4" s="829"/>
      <c r="J4" s="829"/>
      <c r="K4" s="829"/>
      <c r="L4" s="829"/>
    </row>
    <row r="5" spans="1:16" ht="27" customHeight="1" x14ac:dyDescent="0.25">
      <c r="A5" s="50" t="s">
        <v>20</v>
      </c>
      <c r="B5" s="750" t="s">
        <v>781</v>
      </c>
      <c r="C5" s="838"/>
      <c r="D5" s="838"/>
      <c r="E5" s="838"/>
      <c r="F5" s="838"/>
      <c r="G5" s="838"/>
      <c r="H5" s="838"/>
      <c r="I5" s="838"/>
      <c r="J5" s="838"/>
      <c r="K5" s="838"/>
      <c r="L5" s="838"/>
    </row>
    <row r="6" spans="1:16" ht="13.5" customHeight="1" x14ac:dyDescent="0.25">
      <c r="A6" s="54" t="s">
        <v>97</v>
      </c>
      <c r="B6" s="830" t="s">
        <v>98</v>
      </c>
      <c r="C6" s="751" t="s">
        <v>99</v>
      </c>
      <c r="D6" s="755"/>
      <c r="E6" s="755"/>
      <c r="F6" s="755"/>
      <c r="G6" s="752"/>
      <c r="H6" s="751" t="s">
        <v>100</v>
      </c>
      <c r="I6" s="755"/>
      <c r="J6" s="755"/>
      <c r="K6" s="755"/>
      <c r="L6" s="752"/>
    </row>
    <row r="7" spans="1:16" ht="28.5" customHeight="1" x14ac:dyDescent="0.25">
      <c r="A7" s="55" t="s">
        <v>19</v>
      </c>
      <c r="B7" s="831"/>
      <c r="C7" s="760"/>
      <c r="D7" s="761"/>
      <c r="E7" s="761"/>
      <c r="F7" s="761"/>
      <c r="G7" s="762"/>
      <c r="H7" s="753" t="s">
        <v>312</v>
      </c>
      <c r="I7" s="756"/>
      <c r="J7" s="756"/>
      <c r="K7" s="756"/>
      <c r="L7" s="754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6" ht="22.5" customHeight="1" x14ac:dyDescent="0.25">
      <c r="A9" s="50" t="s">
        <v>102</v>
      </c>
      <c r="B9" s="741" t="s">
        <v>306</v>
      </c>
      <c r="C9" s="721"/>
      <c r="D9" s="774" t="s">
        <v>307</v>
      </c>
      <c r="E9" s="774"/>
      <c r="F9" s="774"/>
      <c r="G9" s="774"/>
      <c r="H9" s="774"/>
      <c r="I9" s="774" t="s">
        <v>167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277</v>
      </c>
      <c r="C10" s="721"/>
      <c r="D10" s="742">
        <f>D12+D13+D14+F15</f>
        <v>220.02</v>
      </c>
      <c r="E10" s="742"/>
      <c r="F10" s="742"/>
      <c r="G10" s="742"/>
      <c r="H10" s="742"/>
      <c r="I10" s="742">
        <f>I12+I13+I14+I15+I16+I17+I18+I19</f>
        <v>126.07127739650211</v>
      </c>
      <c r="J10" s="742"/>
      <c r="K10" s="742"/>
      <c r="L10" s="743"/>
      <c r="O10" s="235"/>
    </row>
    <row r="11" spans="1:16" x14ac:dyDescent="0.25">
      <c r="A11" s="65"/>
      <c r="B11" s="735" t="s">
        <v>106</v>
      </c>
      <c r="C11" s="735"/>
      <c r="D11" s="219"/>
      <c r="E11" s="736"/>
      <c r="F11" s="736"/>
      <c r="G11" s="736"/>
      <c r="H11" s="736"/>
      <c r="I11" s="736"/>
      <c r="J11" s="68"/>
      <c r="K11" s="68"/>
      <c r="L11" s="69"/>
    </row>
    <row r="12" spans="1:16" x14ac:dyDescent="0.25">
      <c r="A12" s="65"/>
      <c r="B12" s="735" t="s">
        <v>107</v>
      </c>
      <c r="C12" s="735"/>
      <c r="D12" s="736">
        <f>C30</f>
        <v>1.65</v>
      </c>
      <c r="E12" s="736"/>
      <c r="F12" s="736"/>
      <c r="G12" s="736"/>
      <c r="H12" s="736"/>
      <c r="I12" s="736">
        <f>H30</f>
        <v>0.91321673677219395</v>
      </c>
      <c r="J12" s="736"/>
      <c r="K12" s="736"/>
      <c r="L12" s="773"/>
    </row>
    <row r="13" spans="1:16" x14ac:dyDescent="0.25">
      <c r="A13" s="65"/>
      <c r="B13" s="735" t="s">
        <v>108</v>
      </c>
      <c r="C13" s="735"/>
      <c r="D13" s="736">
        <f>D30</f>
        <v>49.9</v>
      </c>
      <c r="E13" s="736"/>
      <c r="F13" s="736"/>
      <c r="G13" s="736"/>
      <c r="H13" s="736"/>
      <c r="I13" s="736">
        <f>I30</f>
        <v>27.617887978746957</v>
      </c>
      <c r="J13" s="736"/>
      <c r="K13" s="736"/>
      <c r="L13" s="773"/>
      <c r="P13" s="53"/>
    </row>
    <row r="14" spans="1:16" x14ac:dyDescent="0.25">
      <c r="A14" s="65"/>
      <c r="B14" s="735" t="s">
        <v>109</v>
      </c>
      <c r="C14" s="735"/>
      <c r="D14" s="736">
        <f>E30</f>
        <v>129.57</v>
      </c>
      <c r="E14" s="736"/>
      <c r="F14" s="736"/>
      <c r="G14" s="736"/>
      <c r="H14" s="736"/>
      <c r="I14" s="736">
        <f>J30</f>
        <v>71.712419747620103</v>
      </c>
      <c r="J14" s="736"/>
      <c r="K14" s="736"/>
      <c r="L14" s="773"/>
    </row>
    <row r="15" spans="1:16" x14ac:dyDescent="0.25">
      <c r="A15" s="65"/>
      <c r="B15" s="221" t="s">
        <v>110</v>
      </c>
      <c r="C15" s="221"/>
      <c r="D15" s="736">
        <f>F30</f>
        <v>38.9</v>
      </c>
      <c r="E15" s="736"/>
      <c r="F15" s="736">
        <f>F30</f>
        <v>38.9</v>
      </c>
      <c r="G15" s="736"/>
      <c r="H15" s="736"/>
      <c r="I15" s="736">
        <f>K30</f>
        <v>21.529776400265661</v>
      </c>
      <c r="J15" s="736"/>
      <c r="K15" s="736"/>
      <c r="L15" s="773"/>
    </row>
    <row r="16" spans="1:16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36">
        <f>(I12+I13)*0.015</f>
        <v>0.42796657073278727</v>
      </c>
      <c r="J16" s="736"/>
      <c r="K16" s="736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36">
        <f>(I12+I13)*0.029</f>
        <v>0.82740203675005541</v>
      </c>
      <c r="J17" s="736"/>
      <c r="K17" s="736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36">
        <f>(I12+I13)*0.02</f>
        <v>0.57062209431038302</v>
      </c>
      <c r="J18" s="736"/>
      <c r="K18" s="736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36">
        <f>(I12+I15+I16+I17+I18+I14+I13)*0.02</f>
        <v>2.4719858313039631</v>
      </c>
      <c r="J19" s="736"/>
      <c r="K19" s="736"/>
      <c r="L19" s="773"/>
    </row>
    <row r="20" spans="1:13" s="578" customFormat="1" x14ac:dyDescent="0.25">
      <c r="A20" s="576"/>
      <c r="B20" s="571" t="s">
        <v>729</v>
      </c>
      <c r="C20" s="571"/>
      <c r="D20" s="562"/>
      <c r="E20" s="562"/>
      <c r="F20" s="562"/>
      <c r="G20" s="562"/>
      <c r="H20" s="562"/>
      <c r="I20" s="562"/>
      <c r="J20" s="825">
        <f>I10*M20</f>
        <v>127.14288325437238</v>
      </c>
      <c r="K20" s="825"/>
      <c r="L20" s="577"/>
      <c r="M20" s="578">
        <f>[16]МГЭ!$I$7</f>
        <v>1.0085</v>
      </c>
    </row>
    <row r="21" spans="1:13" x14ac:dyDescent="0.25">
      <c r="A21" s="65"/>
      <c r="B21" s="208" t="s">
        <v>314</v>
      </c>
      <c r="C21" s="208"/>
      <c r="D21" s="208"/>
      <c r="E21" s="208"/>
      <c r="F21" s="208"/>
      <c r="G21" s="208"/>
      <c r="H21" s="208"/>
      <c r="I21" s="101">
        <f>J20/125</f>
        <v>1.0171430660349789</v>
      </c>
      <c r="J21" s="101"/>
      <c r="K21" s="101"/>
      <c r="L21" s="102"/>
    </row>
    <row r="22" spans="1:13" x14ac:dyDescent="0.25">
      <c r="A22" s="65"/>
      <c r="B22" s="208" t="s">
        <v>315</v>
      </c>
      <c r="C22" s="208"/>
      <c r="D22" s="736"/>
      <c r="E22" s="736"/>
      <c r="F22" s="736"/>
      <c r="G22" s="736"/>
      <c r="H22" s="736"/>
      <c r="I22" s="101">
        <f>I21*125</f>
        <v>127.14288325437236</v>
      </c>
      <c r="J22" s="132"/>
      <c r="K22" s="132"/>
      <c r="L22" s="133"/>
    </row>
    <row r="23" spans="1:13" x14ac:dyDescent="0.25">
      <c r="A23" s="50"/>
      <c r="B23" s="208" t="s">
        <v>316</v>
      </c>
      <c r="C23" s="208"/>
      <c r="D23" s="216"/>
      <c r="E23" s="216"/>
      <c r="F23" s="216"/>
      <c r="G23" s="216"/>
      <c r="H23" s="52"/>
      <c r="I23" s="243">
        <f>I21*50</f>
        <v>50.857153301748944</v>
      </c>
      <c r="J23" s="52"/>
      <c r="K23" s="52"/>
      <c r="L23" s="155"/>
    </row>
    <row r="24" spans="1:13" x14ac:dyDescent="0.25">
      <c r="A24" s="720" t="s">
        <v>308</v>
      </c>
      <c r="B24" s="721"/>
      <c r="C24" s="721"/>
      <c r="D24" s="721"/>
      <c r="E24" s="721"/>
      <c r="F24" s="721"/>
      <c r="G24" s="721"/>
      <c r="H24" s="721"/>
      <c r="I24" s="721"/>
      <c r="J24" s="721"/>
      <c r="K24" s="721"/>
      <c r="L24" s="722"/>
    </row>
    <row r="25" spans="1:13" ht="13.5" customHeight="1" x14ac:dyDescent="0.25">
      <c r="A25" s="723" t="s">
        <v>112</v>
      </c>
      <c r="B25" s="726" t="s">
        <v>113</v>
      </c>
      <c r="C25" s="729" t="s">
        <v>99</v>
      </c>
      <c r="D25" s="730"/>
      <c r="E25" s="730"/>
      <c r="F25" s="730"/>
      <c r="G25" s="731"/>
      <c r="H25" s="729" t="s">
        <v>100</v>
      </c>
      <c r="I25" s="730"/>
      <c r="J25" s="730"/>
      <c r="K25" s="730"/>
      <c r="L25" s="731"/>
    </row>
    <row r="26" spans="1:13" ht="33" customHeight="1" x14ac:dyDescent="0.25">
      <c r="A26" s="724"/>
      <c r="B26" s="727"/>
      <c r="C26" s="835"/>
      <c r="D26" s="836"/>
      <c r="E26" s="836"/>
      <c r="F26" s="836"/>
      <c r="G26" s="837"/>
      <c r="H26" s="732" t="s">
        <v>312</v>
      </c>
      <c r="I26" s="733"/>
      <c r="J26" s="733"/>
      <c r="K26" s="733"/>
      <c r="L26" s="734"/>
    </row>
    <row r="27" spans="1:13" x14ac:dyDescent="0.25">
      <c r="A27" s="725"/>
      <c r="B27" s="728"/>
      <c r="C27" s="72" t="s">
        <v>114</v>
      </c>
      <c r="D27" s="217" t="s">
        <v>115</v>
      </c>
      <c r="E27" s="217" t="s">
        <v>116</v>
      </c>
      <c r="F27" s="217" t="s">
        <v>13</v>
      </c>
      <c r="G27" s="218" t="s">
        <v>117</v>
      </c>
      <c r="H27" s="72" t="s">
        <v>114</v>
      </c>
      <c r="I27" s="217" t="s">
        <v>115</v>
      </c>
      <c r="J27" s="217" t="s">
        <v>116</v>
      </c>
      <c r="K27" s="217" t="s">
        <v>13</v>
      </c>
      <c r="L27" s="218" t="s">
        <v>117</v>
      </c>
    </row>
    <row r="28" spans="1:13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3" s="84" customFormat="1" ht="80.25" customHeight="1" x14ac:dyDescent="0.25">
      <c r="A29" s="238" t="s">
        <v>118</v>
      </c>
      <c r="B29" s="86" t="s">
        <v>313</v>
      </c>
      <c r="C29" s="240">
        <v>1.65</v>
      </c>
      <c r="D29" s="241">
        <v>49.9</v>
      </c>
      <c r="E29" s="241">
        <v>129.57</v>
      </c>
      <c r="F29" s="241">
        <v>38.9</v>
      </c>
      <c r="G29" s="242">
        <f t="shared" ref="G29" si="0">F29+E29+D29+C29</f>
        <v>220.02</v>
      </c>
      <c r="H29" s="240">
        <f>C29/225.85*125</f>
        <v>0.91321673677219395</v>
      </c>
      <c r="I29" s="241">
        <f t="shared" ref="I29:K29" si="1">D29/225.85*125</f>
        <v>27.617887978746957</v>
      </c>
      <c r="J29" s="241">
        <f t="shared" si="1"/>
        <v>71.712419747620103</v>
      </c>
      <c r="K29" s="241">
        <f t="shared" si="1"/>
        <v>21.529776400265661</v>
      </c>
      <c r="L29" s="242">
        <f>K29+J29+I29+H29</f>
        <v>121.77330086340493</v>
      </c>
    </row>
    <row r="30" spans="1:13" s="53" customFormat="1" ht="21.75" customHeight="1" x14ac:dyDescent="0.25">
      <c r="A30" s="90"/>
      <c r="B30" s="91" t="s">
        <v>122</v>
      </c>
      <c r="C30" s="92">
        <f>C29</f>
        <v>1.65</v>
      </c>
      <c r="D30" s="93">
        <f t="shared" ref="D30:G30" si="2">D29</f>
        <v>49.9</v>
      </c>
      <c r="E30" s="93">
        <f t="shared" si="2"/>
        <v>129.57</v>
      </c>
      <c r="F30" s="93">
        <f t="shared" si="2"/>
        <v>38.9</v>
      </c>
      <c r="G30" s="94">
        <f t="shared" si="2"/>
        <v>220.02</v>
      </c>
      <c r="H30" s="92">
        <f>H29</f>
        <v>0.91321673677219395</v>
      </c>
      <c r="I30" s="93">
        <f t="shared" ref="I30:L30" si="3">I29</f>
        <v>27.617887978746957</v>
      </c>
      <c r="J30" s="93">
        <f t="shared" si="3"/>
        <v>71.712419747620103</v>
      </c>
      <c r="K30" s="93">
        <f t="shared" si="3"/>
        <v>21.529776400265661</v>
      </c>
      <c r="L30" s="94">
        <f t="shared" si="3"/>
        <v>121.77330086340493</v>
      </c>
    </row>
    <row r="31" spans="1:13" s="53" customFormat="1" x14ac:dyDescent="0.25">
      <c r="A31" s="127"/>
      <c r="B31" s="128"/>
      <c r="C31" s="129"/>
      <c r="D31" s="130"/>
      <c r="E31" s="130"/>
      <c r="F31" s="130"/>
      <c r="G31" s="131"/>
      <c r="H31" s="129"/>
      <c r="I31" s="130"/>
      <c r="J31" s="130"/>
      <c r="K31" s="130"/>
      <c r="L31" s="131"/>
    </row>
    <row r="32" spans="1:13" x14ac:dyDescent="0.25">
      <c r="A32" s="95"/>
      <c r="B32" s="96"/>
      <c r="C32" s="97"/>
      <c r="D32" s="97"/>
      <c r="E32" s="97"/>
      <c r="F32" s="97"/>
      <c r="G32" s="97"/>
      <c r="H32" s="97"/>
      <c r="I32" s="97"/>
      <c r="J32" s="97"/>
      <c r="K32" s="97"/>
      <c r="L32" s="98"/>
    </row>
  </sheetData>
  <mergeCells count="42">
    <mergeCell ref="A1:L1"/>
    <mergeCell ref="A3:L3"/>
    <mergeCell ref="A4:L4"/>
    <mergeCell ref="B5:L5"/>
    <mergeCell ref="B6:B7"/>
    <mergeCell ref="C6:G6"/>
    <mergeCell ref="H6:L6"/>
    <mergeCell ref="C7:G7"/>
    <mergeCell ref="H7:L7"/>
    <mergeCell ref="B8:C8"/>
    <mergeCell ref="B9:C9"/>
    <mergeCell ref="D9:H9"/>
    <mergeCell ref="I9:L9"/>
    <mergeCell ref="B10:C10"/>
    <mergeCell ref="D10:H10"/>
    <mergeCell ref="I10:L10"/>
    <mergeCell ref="I16:L16"/>
    <mergeCell ref="I17:L17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I18:L18"/>
    <mergeCell ref="I19:L19"/>
    <mergeCell ref="J20:K20"/>
    <mergeCell ref="A24:L24"/>
    <mergeCell ref="A25:A27"/>
    <mergeCell ref="B25:B27"/>
    <mergeCell ref="C25:G25"/>
    <mergeCell ref="H25:L25"/>
    <mergeCell ref="C26:G26"/>
    <mergeCell ref="H26:L26"/>
    <mergeCell ref="D22:H22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 tint="0.39997558519241921"/>
    <pageSetUpPr fitToPage="1"/>
  </sheetPr>
  <dimension ref="A1:P33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6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46" t="s">
        <v>585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6" s="53" customFormat="1" ht="33.75" customHeight="1" x14ac:dyDescent="0.25">
      <c r="A4" s="828" t="s">
        <v>586</v>
      </c>
      <c r="B4" s="829"/>
      <c r="C4" s="829"/>
      <c r="D4" s="829"/>
      <c r="E4" s="829"/>
      <c r="F4" s="829"/>
      <c r="G4" s="829"/>
      <c r="H4" s="829"/>
      <c r="I4" s="829"/>
      <c r="J4" s="829"/>
      <c r="K4" s="829"/>
      <c r="L4" s="829"/>
    </row>
    <row r="5" spans="1:16" ht="27" customHeight="1" x14ac:dyDescent="0.25">
      <c r="A5" s="50" t="s">
        <v>20</v>
      </c>
      <c r="B5" s="838" t="s">
        <v>776</v>
      </c>
      <c r="C5" s="838"/>
      <c r="D5" s="838"/>
      <c r="E5" s="838"/>
      <c r="F5" s="838"/>
      <c r="G5" s="838"/>
      <c r="H5" s="838"/>
      <c r="I5" s="838"/>
      <c r="J5" s="838"/>
      <c r="K5" s="838"/>
      <c r="L5" s="838"/>
    </row>
    <row r="6" spans="1:16" ht="13.5" customHeight="1" x14ac:dyDescent="0.25">
      <c r="A6" s="54" t="s">
        <v>97</v>
      </c>
      <c r="B6" s="830" t="s">
        <v>98</v>
      </c>
      <c r="C6" s="751" t="s">
        <v>99</v>
      </c>
      <c r="D6" s="755"/>
      <c r="E6" s="755"/>
      <c r="F6" s="755"/>
      <c r="G6" s="752"/>
      <c r="H6" s="751" t="s">
        <v>100</v>
      </c>
      <c r="I6" s="755"/>
      <c r="J6" s="755"/>
      <c r="K6" s="755"/>
      <c r="L6" s="752"/>
    </row>
    <row r="7" spans="1:16" ht="28.5" customHeight="1" x14ac:dyDescent="0.25">
      <c r="A7" s="55" t="s">
        <v>19</v>
      </c>
      <c r="B7" s="831"/>
      <c r="C7" s="760"/>
      <c r="D7" s="761"/>
      <c r="E7" s="761"/>
      <c r="F7" s="761"/>
      <c r="G7" s="762"/>
      <c r="H7" s="753" t="s">
        <v>305</v>
      </c>
      <c r="I7" s="756"/>
      <c r="J7" s="756"/>
      <c r="K7" s="756"/>
      <c r="L7" s="754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6" ht="22.5" customHeight="1" x14ac:dyDescent="0.25">
      <c r="A9" s="50" t="s">
        <v>102</v>
      </c>
      <c r="B9" s="741" t="s">
        <v>309</v>
      </c>
      <c r="C9" s="721"/>
      <c r="D9" s="774" t="s">
        <v>311</v>
      </c>
      <c r="E9" s="774"/>
      <c r="F9" s="774"/>
      <c r="G9" s="774"/>
      <c r="H9" s="774"/>
      <c r="I9" s="774" t="s">
        <v>310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277</v>
      </c>
      <c r="C10" s="721"/>
      <c r="D10" s="742">
        <f>D12+D13+D14+F15</f>
        <v>2226.4799999999996</v>
      </c>
      <c r="E10" s="742"/>
      <c r="F10" s="742"/>
      <c r="G10" s="742"/>
      <c r="H10" s="742"/>
      <c r="I10" s="742">
        <f>I12+I13+I14+I15+I17+I16+I18+I19</f>
        <v>2963.0009958041956</v>
      </c>
      <c r="J10" s="742"/>
      <c r="K10" s="742"/>
      <c r="L10" s="743"/>
      <c r="O10" s="235"/>
    </row>
    <row r="11" spans="1:16" x14ac:dyDescent="0.25">
      <c r="A11" s="65"/>
      <c r="B11" s="735" t="s">
        <v>106</v>
      </c>
      <c r="C11" s="735"/>
      <c r="D11" s="219"/>
      <c r="E11" s="736"/>
      <c r="F11" s="736"/>
      <c r="G11" s="736"/>
      <c r="H11" s="736"/>
      <c r="I11" s="736"/>
      <c r="J11" s="68"/>
      <c r="K11" s="68"/>
      <c r="L11" s="69"/>
    </row>
    <row r="12" spans="1:16" x14ac:dyDescent="0.25">
      <c r="A12" s="65"/>
      <c r="B12" s="735" t="s">
        <v>107</v>
      </c>
      <c r="C12" s="735"/>
      <c r="D12" s="736">
        <f>C30</f>
        <v>172.17</v>
      </c>
      <c r="E12" s="736"/>
      <c r="F12" s="736"/>
      <c r="G12" s="736"/>
      <c r="H12" s="736"/>
      <c r="I12" s="736">
        <f>H30</f>
        <v>219.29745254745254</v>
      </c>
      <c r="J12" s="736"/>
      <c r="K12" s="736"/>
      <c r="L12" s="773"/>
    </row>
    <row r="13" spans="1:16" x14ac:dyDescent="0.25">
      <c r="A13" s="65"/>
      <c r="B13" s="735" t="s">
        <v>108</v>
      </c>
      <c r="C13" s="735"/>
      <c r="D13" s="736">
        <f>D30</f>
        <v>673.98</v>
      </c>
      <c r="E13" s="736"/>
      <c r="F13" s="736"/>
      <c r="G13" s="736"/>
      <c r="H13" s="736"/>
      <c r="I13" s="736">
        <f>I30</f>
        <v>858.46603396603405</v>
      </c>
      <c r="J13" s="736"/>
      <c r="K13" s="736"/>
      <c r="L13" s="773"/>
      <c r="P13" s="53"/>
    </row>
    <row r="14" spans="1:16" x14ac:dyDescent="0.25">
      <c r="A14" s="65"/>
      <c r="B14" s="735" t="s">
        <v>109</v>
      </c>
      <c r="C14" s="735"/>
      <c r="D14" s="736">
        <f>E30</f>
        <v>1293.3599999999999</v>
      </c>
      <c r="E14" s="736"/>
      <c r="F14" s="736"/>
      <c r="G14" s="736"/>
      <c r="H14" s="736"/>
      <c r="I14" s="736">
        <f>J30</f>
        <v>1647.3866133866134</v>
      </c>
      <c r="J14" s="736"/>
      <c r="K14" s="736"/>
      <c r="L14" s="773"/>
    </row>
    <row r="15" spans="1:16" x14ac:dyDescent="0.25">
      <c r="A15" s="65"/>
      <c r="B15" s="221" t="s">
        <v>110</v>
      </c>
      <c r="C15" s="221"/>
      <c r="D15" s="736">
        <f>F30</f>
        <v>86.97</v>
      </c>
      <c r="E15" s="736"/>
      <c r="F15" s="736">
        <f>F30</f>
        <v>86.97</v>
      </c>
      <c r="G15" s="736"/>
      <c r="H15" s="736"/>
      <c r="I15" s="736">
        <f>K30</f>
        <v>110.77597402597402</v>
      </c>
      <c r="J15" s="736"/>
      <c r="K15" s="736"/>
      <c r="L15" s="773"/>
    </row>
    <row r="16" spans="1:16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36">
        <f>(I12+I13)*0.015</f>
        <v>16.1664522977023</v>
      </c>
      <c r="J16" s="736"/>
      <c r="K16" s="736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36">
        <f>(I12+I13)*0.029</f>
        <v>31.255141108891117</v>
      </c>
      <c r="J17" s="736"/>
      <c r="K17" s="736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36">
        <f>(I12+I13)*0.02</f>
        <v>21.555269730269735</v>
      </c>
      <c r="J18" s="736"/>
      <c r="K18" s="736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36">
        <f>(I12+I15+I16+I17+I18+I14+I13)*0.02</f>
        <v>58.09805874125874</v>
      </c>
      <c r="J19" s="736"/>
      <c r="K19" s="736"/>
      <c r="L19" s="773"/>
    </row>
    <row r="20" spans="1:13" s="578" customFormat="1" x14ac:dyDescent="0.25">
      <c r="A20" s="576"/>
      <c r="B20" s="571" t="s">
        <v>729</v>
      </c>
      <c r="C20" s="571"/>
      <c r="D20" s="562"/>
      <c r="E20" s="562"/>
      <c r="F20" s="562"/>
      <c r="G20" s="562"/>
      <c r="H20" s="562"/>
      <c r="I20" s="562"/>
      <c r="J20" s="825">
        <f>I10*M20</f>
        <v>2988.1865042685313</v>
      </c>
      <c r="K20" s="825"/>
      <c r="L20" s="577"/>
      <c r="M20" s="578">
        <f>[16]МГЭ!$I$7</f>
        <v>1.0085</v>
      </c>
    </row>
    <row r="21" spans="1:13" x14ac:dyDescent="0.25">
      <c r="A21" s="65"/>
      <c r="B21" s="208" t="s">
        <v>587</v>
      </c>
      <c r="C21" s="208"/>
      <c r="D21" s="208"/>
      <c r="E21" s="208"/>
      <c r="F21" s="208"/>
      <c r="G21" s="208"/>
      <c r="H21" s="208"/>
      <c r="I21" s="101">
        <f>J20</f>
        <v>2988.1865042685313</v>
      </c>
      <c r="J21" s="101"/>
      <c r="K21" s="101"/>
      <c r="L21" s="102"/>
    </row>
    <row r="22" spans="1:13" x14ac:dyDescent="0.25">
      <c r="A22" s="65"/>
      <c r="B22" s="735"/>
      <c r="C22" s="735"/>
      <c r="D22" s="736"/>
      <c r="E22" s="736"/>
      <c r="F22" s="736"/>
      <c r="G22" s="736"/>
      <c r="H22" s="736"/>
      <c r="I22" s="736"/>
      <c r="J22" s="736"/>
      <c r="K22" s="736"/>
      <c r="L22" s="773"/>
    </row>
    <row r="23" spans="1:13" x14ac:dyDescent="0.25">
      <c r="A23" s="50"/>
      <c r="B23" s="216"/>
      <c r="C23" s="216"/>
      <c r="D23" s="216"/>
      <c r="E23" s="216"/>
      <c r="F23" s="216"/>
      <c r="G23" s="216"/>
      <c r="H23" s="52"/>
      <c r="I23" s="742"/>
      <c r="J23" s="839"/>
      <c r="K23" s="839"/>
      <c r="L23" s="840"/>
    </row>
    <row r="24" spans="1:13" x14ac:dyDescent="0.25">
      <c r="A24" s="720" t="s">
        <v>308</v>
      </c>
      <c r="B24" s="721"/>
      <c r="C24" s="721"/>
      <c r="D24" s="721"/>
      <c r="E24" s="721"/>
      <c r="F24" s="721"/>
      <c r="G24" s="721"/>
      <c r="H24" s="721"/>
      <c r="I24" s="721"/>
      <c r="J24" s="721"/>
      <c r="K24" s="721"/>
      <c r="L24" s="722"/>
    </row>
    <row r="25" spans="1:13" ht="13.5" customHeight="1" x14ac:dyDescent="0.25">
      <c r="A25" s="723" t="s">
        <v>112</v>
      </c>
      <c r="B25" s="726" t="s">
        <v>113</v>
      </c>
      <c r="C25" s="729" t="s">
        <v>99</v>
      </c>
      <c r="D25" s="730"/>
      <c r="E25" s="730"/>
      <c r="F25" s="730"/>
      <c r="G25" s="731"/>
      <c r="H25" s="729" t="s">
        <v>100</v>
      </c>
      <c r="I25" s="730"/>
      <c r="J25" s="730"/>
      <c r="K25" s="730"/>
      <c r="L25" s="731"/>
    </row>
    <row r="26" spans="1:13" ht="33" customHeight="1" x14ac:dyDescent="0.25">
      <c r="A26" s="724"/>
      <c r="B26" s="727"/>
      <c r="C26" s="835"/>
      <c r="D26" s="836"/>
      <c r="E26" s="836"/>
      <c r="F26" s="836"/>
      <c r="G26" s="837"/>
      <c r="H26" s="732" t="s">
        <v>305</v>
      </c>
      <c r="I26" s="733"/>
      <c r="J26" s="733"/>
      <c r="K26" s="733"/>
      <c r="L26" s="734"/>
    </row>
    <row r="27" spans="1:13" x14ac:dyDescent="0.25">
      <c r="A27" s="725"/>
      <c r="B27" s="728"/>
      <c r="C27" s="72" t="s">
        <v>114</v>
      </c>
      <c r="D27" s="217" t="s">
        <v>115</v>
      </c>
      <c r="E27" s="217" t="s">
        <v>116</v>
      </c>
      <c r="F27" s="217" t="s">
        <v>13</v>
      </c>
      <c r="G27" s="218" t="s">
        <v>117</v>
      </c>
      <c r="H27" s="72" t="s">
        <v>114</v>
      </c>
      <c r="I27" s="217" t="s">
        <v>115</v>
      </c>
      <c r="J27" s="217" t="s">
        <v>116</v>
      </c>
      <c r="K27" s="217" t="s">
        <v>13</v>
      </c>
      <c r="L27" s="218" t="s">
        <v>117</v>
      </c>
    </row>
    <row r="28" spans="1:13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3" s="84" customFormat="1" ht="39" customHeight="1" x14ac:dyDescent="0.25">
      <c r="A29" s="238" t="s">
        <v>118</v>
      </c>
      <c r="B29" s="239" t="s">
        <v>305</v>
      </c>
      <c r="C29" s="240">
        <v>172.17</v>
      </c>
      <c r="D29" s="241">
        <v>673.98</v>
      </c>
      <c r="E29" s="241">
        <v>1293.3599999999999</v>
      </c>
      <c r="F29" s="241">
        <v>86.97</v>
      </c>
      <c r="G29" s="242">
        <f t="shared" ref="G29" si="0">F29+E29+D29+C29</f>
        <v>2226.48</v>
      </c>
      <c r="H29" s="240">
        <f>C29/3003*3825</f>
        <v>219.29745254745254</v>
      </c>
      <c r="I29" s="241">
        <f>D29/3003*3825</f>
        <v>858.46603396603405</v>
      </c>
      <c r="J29" s="241">
        <f>E29/3003*3825</f>
        <v>1647.3866133866134</v>
      </c>
      <c r="K29" s="241">
        <f>F29/3003*3825</f>
        <v>110.77597402597402</v>
      </c>
      <c r="L29" s="242">
        <f>K29+J29+I29+H29</f>
        <v>2835.926073926074</v>
      </c>
    </row>
    <row r="30" spans="1:13" s="53" customFormat="1" ht="21.75" customHeight="1" x14ac:dyDescent="0.25">
      <c r="A30" s="90"/>
      <c r="B30" s="91" t="s">
        <v>122</v>
      </c>
      <c r="C30" s="92">
        <f>C29</f>
        <v>172.17</v>
      </c>
      <c r="D30" s="93">
        <f t="shared" ref="D30:G30" si="1">D29</f>
        <v>673.98</v>
      </c>
      <c r="E30" s="93">
        <f t="shared" si="1"/>
        <v>1293.3599999999999</v>
      </c>
      <c r="F30" s="93">
        <f t="shared" si="1"/>
        <v>86.97</v>
      </c>
      <c r="G30" s="94">
        <f t="shared" si="1"/>
        <v>2226.48</v>
      </c>
      <c r="H30" s="92">
        <f>H29</f>
        <v>219.29745254745254</v>
      </c>
      <c r="I30" s="93">
        <f t="shared" ref="I30" si="2">I29</f>
        <v>858.46603396603405</v>
      </c>
      <c r="J30" s="93">
        <f t="shared" ref="J30" si="3">J29</f>
        <v>1647.3866133866134</v>
      </c>
      <c r="K30" s="93">
        <f t="shared" ref="K30" si="4">K29</f>
        <v>110.77597402597402</v>
      </c>
      <c r="L30" s="94">
        <f t="shared" ref="L30" si="5">L29</f>
        <v>2835.926073926074</v>
      </c>
    </row>
    <row r="31" spans="1:13" s="53" customFormat="1" x14ac:dyDescent="0.25">
      <c r="A31" s="127"/>
      <c r="B31" s="128"/>
      <c r="C31" s="129"/>
      <c r="D31" s="130"/>
      <c r="E31" s="130"/>
      <c r="F31" s="130"/>
      <c r="G31" s="131"/>
      <c r="H31" s="129"/>
      <c r="I31" s="130"/>
      <c r="J31" s="130"/>
      <c r="K31" s="130"/>
      <c r="L31" s="131"/>
    </row>
    <row r="32" spans="1:13" x14ac:dyDescent="0.25">
      <c r="A32" s="95"/>
      <c r="B32" s="96"/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3" spans="6:6" x14ac:dyDescent="0.25">
      <c r="F33" s="49">
        <f>20+2983</f>
        <v>3003</v>
      </c>
    </row>
  </sheetData>
  <mergeCells count="45">
    <mergeCell ref="A1:L1"/>
    <mergeCell ref="A3:L3"/>
    <mergeCell ref="A4:L4"/>
    <mergeCell ref="B5:L5"/>
    <mergeCell ref="B6:B7"/>
    <mergeCell ref="C6:G6"/>
    <mergeCell ref="H6:L6"/>
    <mergeCell ref="C7:G7"/>
    <mergeCell ref="H7:L7"/>
    <mergeCell ref="B8:C8"/>
    <mergeCell ref="B9:C9"/>
    <mergeCell ref="D9:H9"/>
    <mergeCell ref="I9:L9"/>
    <mergeCell ref="B10:C10"/>
    <mergeCell ref="D10:H10"/>
    <mergeCell ref="I10:L10"/>
    <mergeCell ref="I16:L16"/>
    <mergeCell ref="I17:L17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A25:A27"/>
    <mergeCell ref="B25:B27"/>
    <mergeCell ref="C25:G25"/>
    <mergeCell ref="H25:L25"/>
    <mergeCell ref="C26:G26"/>
    <mergeCell ref="H26:L26"/>
    <mergeCell ref="I18:L18"/>
    <mergeCell ref="I19:L19"/>
    <mergeCell ref="J20:K20"/>
    <mergeCell ref="I23:L23"/>
    <mergeCell ref="A24:L24"/>
    <mergeCell ref="B22:C22"/>
    <mergeCell ref="D22:H22"/>
    <mergeCell ref="I22:L22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 tint="0.39997558519241921"/>
    <pageSetUpPr fitToPage="1"/>
  </sheetPr>
  <dimension ref="A1:M65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46" t="s">
        <v>584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2" s="53" customFormat="1" ht="21" customHeight="1" x14ac:dyDescent="0.25">
      <c r="A4" s="748" t="s">
        <v>667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2" ht="33" customHeight="1" x14ac:dyDescent="0.25">
      <c r="A5" s="50" t="s">
        <v>20</v>
      </c>
      <c r="B5" s="750" t="s">
        <v>778</v>
      </c>
      <c r="C5" s="750"/>
      <c r="D5" s="750"/>
      <c r="E5" s="750"/>
      <c r="F5" s="750"/>
      <c r="G5" s="750"/>
      <c r="H5" s="750"/>
      <c r="I5" s="750"/>
      <c r="J5" s="750"/>
      <c r="K5" s="750"/>
      <c r="L5" s="750"/>
    </row>
    <row r="6" spans="1:12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2" x14ac:dyDescent="0.25">
      <c r="A7" s="55" t="s">
        <v>19</v>
      </c>
      <c r="B7" s="753"/>
      <c r="C7" s="754"/>
      <c r="D7" s="753"/>
      <c r="E7" s="756"/>
      <c r="F7" s="756"/>
      <c r="G7" s="756"/>
      <c r="H7" s="754"/>
      <c r="I7" s="753" t="s">
        <v>7</v>
      </c>
      <c r="J7" s="756"/>
      <c r="K7" s="756"/>
      <c r="L7" s="754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21" t="s">
        <v>7</v>
      </c>
      <c r="C9" s="721"/>
      <c r="D9" s="61"/>
      <c r="E9" s="61"/>
      <c r="F9" s="222" t="s">
        <v>299</v>
      </c>
      <c r="G9" s="222"/>
      <c r="H9" s="61"/>
      <c r="I9" s="774" t="s">
        <v>300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297</v>
      </c>
      <c r="C10" s="721"/>
      <c r="D10" s="742">
        <f>D12+D13+D14+F15</f>
        <v>603.20000000000005</v>
      </c>
      <c r="E10" s="742"/>
      <c r="F10" s="742"/>
      <c r="G10" s="742"/>
      <c r="H10" s="742"/>
      <c r="I10" s="742">
        <f>(I12+I13+I14+I15+I16+I17+I18+I19)</f>
        <v>317.50755839999999</v>
      </c>
      <c r="J10" s="742"/>
      <c r="K10" s="742"/>
      <c r="L10" s="743"/>
    </row>
    <row r="11" spans="1:12" x14ac:dyDescent="0.25">
      <c r="A11" s="65"/>
      <c r="B11" s="735" t="s">
        <v>106</v>
      </c>
      <c r="C11" s="735"/>
      <c r="D11" s="219"/>
      <c r="E11" s="736"/>
      <c r="F11" s="736"/>
      <c r="G11" s="736"/>
      <c r="H11" s="736"/>
      <c r="I11" s="736"/>
      <c r="J11" s="68"/>
      <c r="K11" s="68"/>
      <c r="L11" s="69"/>
    </row>
    <row r="12" spans="1:12" x14ac:dyDescent="0.25">
      <c r="A12" s="65"/>
      <c r="B12" s="735" t="s">
        <v>107</v>
      </c>
      <c r="C12" s="735"/>
      <c r="D12" s="736">
        <f>C29</f>
        <v>302.56</v>
      </c>
      <c r="E12" s="736"/>
      <c r="F12" s="736"/>
      <c r="G12" s="736"/>
      <c r="H12" s="736"/>
      <c r="I12" s="736">
        <f>H29</f>
        <v>151.28</v>
      </c>
      <c r="J12" s="736"/>
      <c r="K12" s="736"/>
      <c r="L12" s="773"/>
    </row>
    <row r="13" spans="1:12" x14ac:dyDescent="0.25">
      <c r="A13" s="65"/>
      <c r="B13" s="735" t="s">
        <v>108</v>
      </c>
      <c r="C13" s="735"/>
      <c r="D13" s="736">
        <f>D29</f>
        <v>0</v>
      </c>
      <c r="E13" s="736"/>
      <c r="F13" s="736"/>
      <c r="G13" s="736"/>
      <c r="H13" s="736"/>
      <c r="I13" s="736">
        <f>I28</f>
        <v>0</v>
      </c>
      <c r="J13" s="736"/>
      <c r="K13" s="736"/>
      <c r="L13" s="773"/>
    </row>
    <row r="14" spans="1:12" x14ac:dyDescent="0.25">
      <c r="A14" s="65"/>
      <c r="B14" s="735" t="s">
        <v>109</v>
      </c>
      <c r="C14" s="735"/>
      <c r="D14" s="736">
        <f>E29</f>
        <v>300.64</v>
      </c>
      <c r="E14" s="736"/>
      <c r="F14" s="736"/>
      <c r="G14" s="736"/>
      <c r="H14" s="736"/>
      <c r="I14" s="736">
        <f>J28</f>
        <v>150.32</v>
      </c>
      <c r="J14" s="736"/>
      <c r="K14" s="736"/>
      <c r="L14" s="773"/>
    </row>
    <row r="15" spans="1:12" x14ac:dyDescent="0.25">
      <c r="A15" s="65"/>
      <c r="B15" s="221" t="s">
        <v>110</v>
      </c>
      <c r="C15" s="221"/>
      <c r="D15" s="736">
        <f>F29</f>
        <v>0</v>
      </c>
      <c r="E15" s="736"/>
      <c r="F15" s="736">
        <f>F29</f>
        <v>0</v>
      </c>
      <c r="G15" s="736"/>
      <c r="H15" s="736"/>
      <c r="I15" s="736">
        <f>K29</f>
        <v>0</v>
      </c>
      <c r="J15" s="736"/>
      <c r="K15" s="736"/>
      <c r="L15" s="773"/>
    </row>
    <row r="16" spans="1:12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36">
        <f>I12*0.015</f>
        <v>2.2692000000000001</v>
      </c>
      <c r="J16" s="736"/>
      <c r="K16" s="736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36">
        <f>I12*0.029</f>
        <v>4.3871200000000004</v>
      </c>
      <c r="J17" s="736"/>
      <c r="K17" s="736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36">
        <f>I12*0.02</f>
        <v>3.0256000000000003</v>
      </c>
      <c r="J18" s="736"/>
      <c r="K18" s="736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36">
        <f>(I12+I15+I16+I17+I18+I14+I13)*0.02</f>
        <v>6.2256384000000002</v>
      </c>
      <c r="J19" s="736"/>
      <c r="K19" s="736"/>
      <c r="L19" s="773"/>
    </row>
    <row r="20" spans="1:13" s="578" customFormat="1" x14ac:dyDescent="0.25">
      <c r="A20" s="576"/>
      <c r="B20" s="571" t="s">
        <v>722</v>
      </c>
      <c r="C20" s="571"/>
      <c r="D20" s="562"/>
      <c r="E20" s="562"/>
      <c r="F20" s="562"/>
      <c r="G20" s="562"/>
      <c r="H20" s="562"/>
      <c r="I20" s="562"/>
      <c r="J20" s="825">
        <f>I10*M20</f>
        <v>364.43517553151997</v>
      </c>
      <c r="K20" s="825"/>
      <c r="L20" s="577"/>
      <c r="M20" s="578">
        <f>[16]МГЭ!$I$3</f>
        <v>1.1477999999999999</v>
      </c>
    </row>
    <row r="21" spans="1:13" x14ac:dyDescent="0.25">
      <c r="A21" s="65"/>
      <c r="B21" s="208" t="s">
        <v>303</v>
      </c>
      <c r="C21" s="208"/>
      <c r="D21" s="208"/>
      <c r="E21" s="208"/>
      <c r="F21" s="208"/>
      <c r="G21" s="208"/>
      <c r="H21" s="208"/>
      <c r="I21" s="101">
        <f>J20/4</f>
        <v>91.108793882879993</v>
      </c>
      <c r="J21" s="101"/>
      <c r="K21" s="101"/>
      <c r="L21" s="102"/>
    </row>
    <row r="22" spans="1:13" x14ac:dyDescent="0.25">
      <c r="A22" s="65"/>
      <c r="B22" s="221"/>
      <c r="C22" s="221"/>
      <c r="D22" s="219"/>
      <c r="E22" s="219"/>
      <c r="F22" s="219"/>
      <c r="G22" s="219"/>
      <c r="H22" s="219"/>
      <c r="I22" s="219"/>
      <c r="J22" s="219"/>
      <c r="K22" s="219"/>
      <c r="L22" s="220"/>
    </row>
    <row r="23" spans="1:13" x14ac:dyDescent="0.25">
      <c r="A23" s="720" t="s">
        <v>295</v>
      </c>
      <c r="B23" s="721"/>
      <c r="C23" s="721"/>
      <c r="D23" s="721"/>
      <c r="E23" s="721"/>
      <c r="F23" s="721"/>
      <c r="G23" s="721"/>
      <c r="H23" s="721"/>
      <c r="I23" s="721"/>
      <c r="J23" s="721"/>
      <c r="K23" s="721"/>
      <c r="L23" s="722"/>
    </row>
    <row r="24" spans="1:13" ht="13.5" customHeight="1" x14ac:dyDescent="0.25">
      <c r="A24" s="723" t="s">
        <v>112</v>
      </c>
      <c r="B24" s="726" t="s">
        <v>113</v>
      </c>
      <c r="C24" s="729" t="s">
        <v>99</v>
      </c>
      <c r="D24" s="730"/>
      <c r="E24" s="730"/>
      <c r="F24" s="730"/>
      <c r="G24" s="731"/>
      <c r="H24" s="729" t="s">
        <v>100</v>
      </c>
      <c r="I24" s="730"/>
      <c r="J24" s="730"/>
      <c r="K24" s="730"/>
      <c r="L24" s="731"/>
    </row>
    <row r="25" spans="1:13" x14ac:dyDescent="0.25">
      <c r="A25" s="724"/>
      <c r="B25" s="727"/>
      <c r="C25" s="732"/>
      <c r="D25" s="733"/>
      <c r="E25" s="733"/>
      <c r="F25" s="733"/>
      <c r="G25" s="734"/>
      <c r="H25" s="732" t="s">
        <v>7</v>
      </c>
      <c r="I25" s="733"/>
      <c r="J25" s="733"/>
      <c r="K25" s="733"/>
      <c r="L25" s="734"/>
    </row>
    <row r="26" spans="1:13" x14ac:dyDescent="0.25">
      <c r="A26" s="725"/>
      <c r="B26" s="728"/>
      <c r="C26" s="72" t="s">
        <v>114</v>
      </c>
      <c r="D26" s="217" t="s">
        <v>115</v>
      </c>
      <c r="E26" s="217" t="s">
        <v>116</v>
      </c>
      <c r="F26" s="217" t="s">
        <v>13</v>
      </c>
      <c r="G26" s="218" t="s">
        <v>117</v>
      </c>
      <c r="H26" s="72" t="s">
        <v>114</v>
      </c>
      <c r="I26" s="217" t="s">
        <v>115</v>
      </c>
      <c r="J26" s="217" t="s">
        <v>116</v>
      </c>
      <c r="K26" s="217" t="s">
        <v>13</v>
      </c>
      <c r="L26" s="218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s="84" customFormat="1" x14ac:dyDescent="0.25">
      <c r="A28" s="79">
        <v>1</v>
      </c>
      <c r="B28" s="80" t="s">
        <v>304</v>
      </c>
      <c r="C28" s="81">
        <v>302.56</v>
      </c>
      <c r="D28" s="82">
        <v>0</v>
      </c>
      <c r="E28" s="82">
        <v>300.64</v>
      </c>
      <c r="F28" s="82"/>
      <c r="G28" s="83">
        <f>F28+E28+D28+C28</f>
        <v>603.20000000000005</v>
      </c>
      <c r="H28" s="81">
        <f>C28/8*4</f>
        <v>151.28</v>
      </c>
      <c r="I28" s="82">
        <f t="shared" ref="I28:K28" si="0">D28/8*4</f>
        <v>0</v>
      </c>
      <c r="J28" s="82">
        <f t="shared" si="0"/>
        <v>150.32</v>
      </c>
      <c r="K28" s="82">
        <f t="shared" si="0"/>
        <v>0</v>
      </c>
      <c r="L28" s="83">
        <f>K28+J28+I28+H28</f>
        <v>301.60000000000002</v>
      </c>
    </row>
    <row r="29" spans="1:13" s="53" customFormat="1" ht="21.75" customHeight="1" x14ac:dyDescent="0.25">
      <c r="A29" s="90"/>
      <c r="B29" s="91" t="s">
        <v>122</v>
      </c>
      <c r="C29" s="92">
        <f>C28</f>
        <v>302.56</v>
      </c>
      <c r="D29" s="93">
        <f t="shared" ref="D29:L29" si="1">D28</f>
        <v>0</v>
      </c>
      <c r="E29" s="93">
        <f t="shared" si="1"/>
        <v>300.64</v>
      </c>
      <c r="F29" s="93">
        <f t="shared" si="1"/>
        <v>0</v>
      </c>
      <c r="G29" s="94">
        <f t="shared" si="1"/>
        <v>603.20000000000005</v>
      </c>
      <c r="H29" s="92">
        <f t="shared" si="1"/>
        <v>151.28</v>
      </c>
      <c r="I29" s="93">
        <f t="shared" si="1"/>
        <v>0</v>
      </c>
      <c r="J29" s="93">
        <f t="shared" si="1"/>
        <v>150.32</v>
      </c>
      <c r="K29" s="93">
        <f t="shared" si="1"/>
        <v>0</v>
      </c>
      <c r="L29" s="94">
        <f t="shared" si="1"/>
        <v>301.60000000000002</v>
      </c>
    </row>
    <row r="30" spans="1:13" x14ac:dyDescent="0.25">
      <c r="A30" s="95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3" spans="4:4" x14ac:dyDescent="0.25">
      <c r="D33" s="100"/>
    </row>
    <row r="34" spans="4:4" x14ac:dyDescent="0.25">
      <c r="D34" s="100"/>
    </row>
    <row r="35" spans="4:4" x14ac:dyDescent="0.25">
      <c r="D35" s="100"/>
    </row>
    <row r="36" spans="4:4" x14ac:dyDescent="0.25">
      <c r="D36" s="100"/>
    </row>
    <row r="37" spans="4:4" x14ac:dyDescent="0.25">
      <c r="D37" s="100"/>
    </row>
    <row r="38" spans="4:4" x14ac:dyDescent="0.25">
      <c r="D38" s="100"/>
    </row>
    <row r="39" spans="4:4" x14ac:dyDescent="0.25">
      <c r="D39" s="100"/>
    </row>
    <row r="40" spans="4:4" x14ac:dyDescent="0.25">
      <c r="D40" s="100"/>
    </row>
    <row r="41" spans="4:4" x14ac:dyDescent="0.25">
      <c r="D41" s="100"/>
    </row>
    <row r="42" spans="4:4" x14ac:dyDescent="0.25">
      <c r="D42" s="100"/>
    </row>
    <row r="43" spans="4:4" x14ac:dyDescent="0.25">
      <c r="D43" s="100"/>
    </row>
    <row r="44" spans="4:4" x14ac:dyDescent="0.25">
      <c r="D44" s="100"/>
    </row>
    <row r="45" spans="4:4" x14ac:dyDescent="0.25">
      <c r="D45" s="100"/>
    </row>
    <row r="46" spans="4:4" x14ac:dyDescent="0.25">
      <c r="D46" s="100"/>
    </row>
    <row r="47" spans="4:4" x14ac:dyDescent="0.25">
      <c r="D47" s="100"/>
    </row>
    <row r="48" spans="4:4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>
        <f>SUM(D33:D60)</f>
        <v>0</v>
      </c>
      <c r="E65" s="49">
        <f>SUM(E45:E64)</f>
        <v>0</v>
      </c>
    </row>
  </sheetData>
  <mergeCells count="40">
    <mergeCell ref="A1:L1"/>
    <mergeCell ref="A3:L3"/>
    <mergeCell ref="A4:L4"/>
    <mergeCell ref="B5:L5"/>
    <mergeCell ref="B6:C7"/>
    <mergeCell ref="D6:H6"/>
    <mergeCell ref="I6:L6"/>
    <mergeCell ref="D7:H7"/>
    <mergeCell ref="I7:L7"/>
    <mergeCell ref="B8:C8"/>
    <mergeCell ref="B9:C9"/>
    <mergeCell ref="I9:L9"/>
    <mergeCell ref="B10:C10"/>
    <mergeCell ref="D10:H10"/>
    <mergeCell ref="I10:L10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H25:L25"/>
    <mergeCell ref="I17:L17"/>
    <mergeCell ref="I18:L18"/>
    <mergeCell ref="I19:L19"/>
    <mergeCell ref="J20:K20"/>
    <mergeCell ref="A23:L23"/>
    <mergeCell ref="A24:A26"/>
    <mergeCell ref="B24:B26"/>
    <mergeCell ref="C24:G24"/>
    <mergeCell ref="H24:L24"/>
    <mergeCell ref="C25:G25"/>
  </mergeCells>
  <pageMargins left="0.39370078740157483" right="0.39370078740157483" top="0.59055118110236227" bottom="0.39370078740157483" header="0" footer="0"/>
  <pageSetup paperSize="9" scale="77" fitToHeight="100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 tint="0.39997558519241921"/>
  </sheetPr>
  <dimension ref="A1:M142"/>
  <sheetViews>
    <sheetView zoomScale="80" zoomScaleNormal="80" workbookViewId="0">
      <selection sqref="A1:G1"/>
    </sheetView>
  </sheetViews>
  <sheetFormatPr defaultColWidth="9.140625" defaultRowHeight="15.75" x14ac:dyDescent="0.25"/>
  <cols>
    <col min="1" max="1" width="4" style="10" customWidth="1"/>
    <col min="2" max="2" width="13.42578125" style="10" customWidth="1"/>
    <col min="3" max="3" width="11.140625" style="10" customWidth="1"/>
    <col min="4" max="4" width="10.85546875" style="10" customWidth="1"/>
    <col min="5" max="5" width="10" style="10" customWidth="1"/>
    <col min="6" max="6" width="12.85546875" style="10" customWidth="1"/>
    <col min="7" max="7" width="13.7109375" style="10" customWidth="1"/>
    <col min="8" max="8" width="8.42578125" style="10" customWidth="1"/>
    <col min="9" max="9" width="12.28515625" style="10" customWidth="1"/>
    <col min="10" max="10" width="15.140625" style="10" customWidth="1"/>
    <col min="11" max="11" width="9.140625" style="10"/>
    <col min="12" max="12" width="11.7109375" style="10" customWidth="1"/>
    <col min="13" max="16384" width="9.140625" style="10"/>
  </cols>
  <sheetData>
    <row r="1" spans="1:10" s="49" customFormat="1" ht="85.5" customHeight="1" x14ac:dyDescent="0.25">
      <c r="A1" s="784"/>
      <c r="B1" s="784"/>
      <c r="C1" s="784"/>
      <c r="D1" s="784"/>
      <c r="E1" s="784"/>
      <c r="F1" s="784"/>
      <c r="G1" s="784"/>
      <c r="H1" s="784"/>
      <c r="I1" s="784"/>
      <c r="J1" s="784"/>
    </row>
    <row r="2" spans="1:10" s="49" customFormat="1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</row>
    <row r="3" spans="1:10" s="53" customFormat="1" x14ac:dyDescent="0.25">
      <c r="A3" s="746" t="s">
        <v>588</v>
      </c>
      <c r="B3" s="747"/>
      <c r="C3" s="747"/>
      <c r="D3" s="747"/>
      <c r="E3" s="747"/>
      <c r="F3" s="747"/>
      <c r="G3" s="747"/>
      <c r="H3" s="747"/>
      <c r="I3" s="747"/>
      <c r="J3" s="747"/>
    </row>
    <row r="5" spans="1:10" ht="18.75" x14ac:dyDescent="0.3">
      <c r="B5" s="780" t="s">
        <v>375</v>
      </c>
      <c r="C5" s="780"/>
      <c r="D5" s="780"/>
      <c r="E5" s="780"/>
      <c r="F5" s="780"/>
      <c r="G5" s="780"/>
      <c r="H5" s="780"/>
      <c r="I5" s="780"/>
      <c r="J5" s="780"/>
    </row>
    <row r="6" spans="1:10" x14ac:dyDescent="0.25">
      <c r="B6" s="781" t="s">
        <v>48</v>
      </c>
      <c r="C6" s="781"/>
      <c r="D6" s="781"/>
      <c r="E6" s="781"/>
      <c r="F6" s="781"/>
      <c r="G6" s="781"/>
      <c r="H6" s="781"/>
      <c r="I6" s="781"/>
      <c r="J6" s="781"/>
    </row>
    <row r="8" spans="1:10" ht="108" customHeight="1" x14ac:dyDescent="0.25">
      <c r="B8" s="779" t="s">
        <v>49</v>
      </c>
      <c r="C8" s="779"/>
      <c r="D8" s="779"/>
      <c r="E8" s="779"/>
      <c r="F8" s="779"/>
      <c r="G8" s="779"/>
      <c r="H8" s="779"/>
      <c r="I8" s="779"/>
      <c r="J8" s="779"/>
    </row>
    <row r="10" spans="1:10" x14ac:dyDescent="0.25">
      <c r="A10" s="778" t="s">
        <v>50</v>
      </c>
      <c r="B10" s="778"/>
      <c r="C10" s="778"/>
      <c r="D10" s="778"/>
      <c r="E10" s="778"/>
      <c r="F10" s="778"/>
      <c r="G10" s="778"/>
      <c r="H10" s="778"/>
      <c r="I10" s="778"/>
      <c r="J10" s="778"/>
    </row>
    <row r="11" spans="1:10" x14ac:dyDescent="0.25">
      <c r="B11" s="11"/>
      <c r="I11" s="15" t="s">
        <v>18</v>
      </c>
      <c r="J11" s="15"/>
    </row>
    <row r="12" spans="1:10" s="15" customFormat="1" ht="27" customHeight="1" x14ac:dyDescent="0.25">
      <c r="A12" s="248" t="s">
        <v>20</v>
      </c>
      <c r="B12" s="848" t="s">
        <v>376</v>
      </c>
      <c r="C12" s="849"/>
      <c r="D12" s="849"/>
      <c r="E12" s="849"/>
      <c r="F12" s="849"/>
      <c r="G12" s="849"/>
      <c r="H12" s="849"/>
      <c r="I12" s="249">
        <v>7825</v>
      </c>
      <c r="J12" s="249"/>
    </row>
    <row r="13" spans="1:10" s="15" customFormat="1" ht="18.75" customHeight="1" x14ac:dyDescent="0.25">
      <c r="A13" s="248" t="s">
        <v>21</v>
      </c>
      <c r="B13" s="848" t="s">
        <v>377</v>
      </c>
      <c r="C13" s="849"/>
      <c r="D13" s="849"/>
      <c r="E13" s="849"/>
      <c r="F13" s="849"/>
      <c r="G13" s="849"/>
      <c r="H13" s="849"/>
      <c r="I13" s="249">
        <v>40</v>
      </c>
      <c r="J13" s="249"/>
    </row>
    <row r="14" spans="1:10" s="250" customFormat="1" ht="15.75" customHeight="1" x14ac:dyDescent="0.25">
      <c r="A14" s="248" t="s">
        <v>63</v>
      </c>
      <c r="B14" s="848" t="s">
        <v>378</v>
      </c>
      <c r="C14" s="849"/>
      <c r="D14" s="849"/>
      <c r="E14" s="849"/>
      <c r="F14" s="849"/>
      <c r="G14" s="849"/>
      <c r="H14" s="849"/>
      <c r="I14" s="249">
        <v>20</v>
      </c>
      <c r="J14" s="249"/>
    </row>
    <row r="15" spans="1:10" s="250" customFormat="1" ht="20.25" customHeight="1" x14ac:dyDescent="0.25">
      <c r="A15" s="248" t="s">
        <v>66</v>
      </c>
      <c r="B15" s="848" t="s">
        <v>451</v>
      </c>
      <c r="C15" s="849"/>
      <c r="D15" s="849"/>
      <c r="E15" s="849"/>
      <c r="F15" s="849"/>
      <c r="G15" s="849"/>
      <c r="H15" s="849"/>
      <c r="I15" s="249">
        <v>2000</v>
      </c>
      <c r="J15" s="249"/>
    </row>
    <row r="17" spans="1:10" ht="36" customHeight="1" x14ac:dyDescent="0.25">
      <c r="A17" s="782" t="s">
        <v>52</v>
      </c>
      <c r="B17" s="782"/>
      <c r="C17" s="782"/>
      <c r="D17" s="782"/>
      <c r="E17" s="782"/>
      <c r="F17" s="782"/>
      <c r="G17" s="782"/>
      <c r="H17" s="782"/>
      <c r="I17" s="782"/>
      <c r="J17" s="19"/>
    </row>
    <row r="18" spans="1:10" ht="15.75" customHeight="1" x14ac:dyDescent="0.25">
      <c r="A18" s="214"/>
      <c r="B18" s="214" t="s">
        <v>379</v>
      </c>
      <c r="C18" s="214"/>
      <c r="D18" s="214"/>
      <c r="E18" s="214"/>
      <c r="F18" s="214"/>
      <c r="G18" s="214"/>
      <c r="H18" s="214"/>
      <c r="I18" s="214"/>
      <c r="J18" s="19"/>
    </row>
    <row r="19" spans="1:10" s="14" customFormat="1" ht="36.75" customHeight="1" x14ac:dyDescent="0.25">
      <c r="B19" s="20" t="s">
        <v>53</v>
      </c>
      <c r="C19" s="779"/>
      <c r="D19" s="779"/>
      <c r="E19" s="779"/>
      <c r="F19" s="779"/>
      <c r="G19" s="779"/>
      <c r="H19" s="779"/>
      <c r="I19" s="779"/>
      <c r="J19" s="20"/>
    </row>
    <row r="20" spans="1:10" s="14" customFormat="1" ht="18" customHeight="1" x14ac:dyDescent="0.25">
      <c r="B20" s="20" t="s">
        <v>54</v>
      </c>
      <c r="C20" s="785"/>
      <c r="D20" s="785"/>
      <c r="E20" s="785"/>
      <c r="F20" s="785"/>
      <c r="G20" s="785"/>
      <c r="H20" s="785"/>
      <c r="I20" s="785"/>
      <c r="J20" s="785"/>
    </row>
    <row r="21" spans="1:10" s="14" customFormat="1" ht="15.75" customHeight="1" x14ac:dyDescent="0.25">
      <c r="B21" s="785" t="s">
        <v>55</v>
      </c>
      <c r="C21" s="785"/>
      <c r="D21" s="785"/>
      <c r="E21" s="785"/>
      <c r="F21" s="21" t="s">
        <v>56</v>
      </c>
      <c r="G21" s="21"/>
      <c r="H21" s="21"/>
      <c r="I21" s="21"/>
      <c r="J21" s="21"/>
    </row>
    <row r="22" spans="1:10" s="14" customFormat="1" ht="18" customHeight="1" x14ac:dyDescent="0.25">
      <c r="B22" s="20" t="s">
        <v>380</v>
      </c>
      <c r="C22" s="20" t="s">
        <v>381</v>
      </c>
      <c r="D22" s="14" t="s">
        <v>382</v>
      </c>
      <c r="E22" s="20"/>
      <c r="F22" s="20"/>
      <c r="H22" s="20"/>
      <c r="I22" s="20"/>
      <c r="J22" s="20"/>
    </row>
    <row r="23" spans="1:10" ht="15.75" customHeight="1" x14ac:dyDescent="0.25">
      <c r="A23" s="214"/>
      <c r="B23" s="214" t="s">
        <v>383</v>
      </c>
      <c r="C23" s="214"/>
      <c r="D23" s="214"/>
      <c r="E23" s="214"/>
      <c r="F23" s="214"/>
      <c r="G23" s="214"/>
      <c r="H23" s="214"/>
      <c r="I23" s="214"/>
      <c r="J23" s="19"/>
    </row>
    <row r="24" spans="1:10" s="14" customFormat="1" ht="36.75" customHeight="1" x14ac:dyDescent="0.25">
      <c r="B24" s="20" t="s">
        <v>53</v>
      </c>
      <c r="C24" s="779" t="s">
        <v>446</v>
      </c>
      <c r="D24" s="779"/>
      <c r="E24" s="779"/>
      <c r="F24" s="779"/>
      <c r="G24" s="779"/>
      <c r="H24" s="779"/>
      <c r="I24" s="779"/>
      <c r="J24" s="20"/>
    </row>
    <row r="25" spans="1:10" s="14" customFormat="1" ht="18" customHeight="1" x14ac:dyDescent="0.25">
      <c r="B25" s="20" t="s">
        <v>54</v>
      </c>
      <c r="C25" s="785" t="s">
        <v>384</v>
      </c>
      <c r="D25" s="785"/>
      <c r="E25" s="785"/>
      <c r="F25" s="785"/>
      <c r="G25" s="785"/>
      <c r="H25" s="785"/>
      <c r="I25" s="785"/>
      <c r="J25" s="785"/>
    </row>
    <row r="26" spans="1:10" s="14" customFormat="1" ht="15.75" customHeight="1" x14ac:dyDescent="0.25">
      <c r="B26" s="785" t="s">
        <v>385</v>
      </c>
      <c r="C26" s="785"/>
      <c r="D26" s="785"/>
      <c r="E26" s="785"/>
      <c r="F26" s="21" t="s">
        <v>386</v>
      </c>
      <c r="G26" s="21"/>
      <c r="H26" s="21"/>
      <c r="I26" s="21"/>
      <c r="J26" s="21"/>
    </row>
    <row r="27" spans="1:10" s="14" customFormat="1" ht="18" customHeight="1" x14ac:dyDescent="0.25">
      <c r="B27" s="20" t="s">
        <v>387</v>
      </c>
      <c r="C27" s="20" t="s">
        <v>388</v>
      </c>
      <c r="D27" s="14" t="s">
        <v>389</v>
      </c>
      <c r="E27" s="20"/>
      <c r="F27" s="20"/>
      <c r="H27" s="20"/>
      <c r="I27" s="20"/>
      <c r="J27" s="20"/>
    </row>
    <row r="29" spans="1:10" x14ac:dyDescent="0.25">
      <c r="A29" s="778" t="s">
        <v>58</v>
      </c>
      <c r="B29" s="778"/>
      <c r="C29" s="778"/>
      <c r="D29" s="778"/>
      <c r="E29" s="778"/>
      <c r="F29" s="778"/>
      <c r="G29" s="778"/>
      <c r="H29" s="778"/>
      <c r="I29" s="778"/>
      <c r="J29" s="778"/>
    </row>
    <row r="31" spans="1:10" s="23" customFormat="1" ht="12.75" x14ac:dyDescent="0.2">
      <c r="A31" s="22" t="s">
        <v>20</v>
      </c>
      <c r="B31" s="23" t="s">
        <v>59</v>
      </c>
      <c r="E31" s="24"/>
      <c r="F31" s="24"/>
      <c r="G31" s="24">
        <v>1.4999999999999999E-2</v>
      </c>
      <c r="H31" s="23" t="s">
        <v>60</v>
      </c>
    </row>
    <row r="32" spans="1:10" s="23" customFormat="1" ht="12.75" x14ac:dyDescent="0.2">
      <c r="A32" s="22" t="s">
        <v>21</v>
      </c>
      <c r="B32" s="23" t="s">
        <v>61</v>
      </c>
      <c r="F32" s="24"/>
      <c r="G32" s="24">
        <v>2.9000000000000001E-2</v>
      </c>
      <c r="H32" s="23" t="s">
        <v>62</v>
      </c>
    </row>
    <row r="33" spans="1:10" s="23" customFormat="1" ht="12.75" x14ac:dyDescent="0.2">
      <c r="A33" s="22" t="s">
        <v>63</v>
      </c>
      <c r="B33" s="23" t="s">
        <v>64</v>
      </c>
      <c r="F33" s="25"/>
      <c r="G33" s="25">
        <v>0.02</v>
      </c>
      <c r="H33" s="23" t="s">
        <v>65</v>
      </c>
    </row>
    <row r="34" spans="1:10" s="23" customFormat="1" ht="12.75" x14ac:dyDescent="0.2">
      <c r="A34" s="22" t="s">
        <v>66</v>
      </c>
      <c r="B34" s="23" t="s">
        <v>67</v>
      </c>
      <c r="G34" s="25">
        <v>0.02</v>
      </c>
      <c r="H34" s="23" t="s">
        <v>68</v>
      </c>
    </row>
    <row r="35" spans="1:10" s="575" customFormat="1" ht="12.75" x14ac:dyDescent="0.2">
      <c r="A35" s="580" t="s">
        <v>69</v>
      </c>
      <c r="B35" s="575" t="s">
        <v>70</v>
      </c>
      <c r="G35" s="581">
        <v>1.1635</v>
      </c>
      <c r="H35" s="575" t="s">
        <v>71</v>
      </c>
    </row>
    <row r="36" spans="1:10" s="575" customFormat="1" ht="12.75" x14ac:dyDescent="0.2">
      <c r="A36" s="580"/>
      <c r="B36" s="575" t="s">
        <v>390</v>
      </c>
      <c r="G36" s="581">
        <v>1.3318000000000001</v>
      </c>
      <c r="H36" s="575" t="s">
        <v>71</v>
      </c>
    </row>
    <row r="38" spans="1:10" x14ac:dyDescent="0.25">
      <c r="B38" s="27" t="s">
        <v>72</v>
      </c>
    </row>
    <row r="39" spans="1:10" ht="13.5" customHeight="1" x14ac:dyDescent="0.25">
      <c r="J39" s="251"/>
    </row>
    <row r="40" spans="1:10" s="252" customFormat="1" ht="20.25" customHeight="1" x14ac:dyDescent="0.25">
      <c r="A40" s="252" t="s">
        <v>20</v>
      </c>
      <c r="B40" s="252" t="s">
        <v>391</v>
      </c>
      <c r="D40" s="252">
        <f>I49+I50</f>
        <v>13404</v>
      </c>
      <c r="E40" s="252" t="s">
        <v>103</v>
      </c>
    </row>
    <row r="41" spans="1:10" s="30" customFormat="1" ht="12.75" x14ac:dyDescent="0.2">
      <c r="B41" s="28"/>
      <c r="C41" s="28" t="s">
        <v>73</v>
      </c>
      <c r="D41" s="28"/>
      <c r="E41" s="28"/>
      <c r="F41" s="28"/>
      <c r="G41" s="28" t="s">
        <v>392</v>
      </c>
      <c r="H41" s="28" t="s">
        <v>393</v>
      </c>
      <c r="I41" s="28" t="s">
        <v>394</v>
      </c>
      <c r="J41" s="28" t="s">
        <v>395</v>
      </c>
    </row>
    <row r="42" spans="1:10" s="23" customFormat="1" ht="12.75" x14ac:dyDescent="0.2">
      <c r="B42" s="31" t="s">
        <v>396</v>
      </c>
      <c r="C42" s="31"/>
      <c r="D42" s="31"/>
      <c r="E42" s="31"/>
      <c r="F42" s="31" t="s">
        <v>397</v>
      </c>
      <c r="G42" s="253" t="s">
        <v>398</v>
      </c>
      <c r="H42" s="254" t="s">
        <v>323</v>
      </c>
      <c r="I42" s="254">
        <f>592.3+1489+367.3</f>
        <v>2448.6000000000004</v>
      </c>
      <c r="J42" s="255">
        <f>85798.42+137306.63+390291.73</f>
        <v>613396.78</v>
      </c>
    </row>
    <row r="43" spans="1:10" s="23" customFormat="1" ht="12.75" x14ac:dyDescent="0.2">
      <c r="B43" s="31" t="s">
        <v>399</v>
      </c>
      <c r="C43" s="31"/>
      <c r="D43" s="31"/>
      <c r="E43" s="31"/>
      <c r="F43" s="31" t="s">
        <v>397</v>
      </c>
      <c r="G43" s="253" t="s">
        <v>400</v>
      </c>
      <c r="H43" s="254" t="s">
        <v>103</v>
      </c>
      <c r="I43" s="254">
        <f>1700.6+300.1</f>
        <v>2000.6999999999998</v>
      </c>
      <c r="J43" s="255">
        <f>21419.8+307807.34+164097.98+86557.61</f>
        <v>579882.73</v>
      </c>
    </row>
    <row r="44" spans="1:10" s="23" customFormat="1" ht="12.75" x14ac:dyDescent="0.2">
      <c r="B44" s="31" t="s">
        <v>401</v>
      </c>
      <c r="C44" s="31"/>
      <c r="D44" s="31"/>
      <c r="E44" s="31"/>
      <c r="F44" s="31" t="s">
        <v>397</v>
      </c>
      <c r="G44" s="253" t="s">
        <v>121</v>
      </c>
      <c r="H44" s="254" t="s">
        <v>323</v>
      </c>
      <c r="I44" s="254">
        <v>592.27</v>
      </c>
      <c r="J44" s="255">
        <f>250753.38</f>
        <v>250753.38</v>
      </c>
    </row>
    <row r="45" spans="1:10" s="23" customFormat="1" ht="12.75" x14ac:dyDescent="0.2">
      <c r="B45" s="31" t="s">
        <v>402</v>
      </c>
      <c r="C45" s="31"/>
      <c r="D45" s="31"/>
      <c r="E45" s="31"/>
      <c r="F45" s="31" t="s">
        <v>397</v>
      </c>
      <c r="G45" s="253" t="s">
        <v>177</v>
      </c>
      <c r="H45" s="254" t="s">
        <v>103</v>
      </c>
      <c r="I45" s="254">
        <v>592.27</v>
      </c>
      <c r="J45" s="255">
        <v>102431.24</v>
      </c>
    </row>
    <row r="46" spans="1:10" s="23" customFormat="1" ht="12.75" x14ac:dyDescent="0.2">
      <c r="B46" s="31" t="s">
        <v>403</v>
      </c>
      <c r="C46" s="31"/>
      <c r="D46" s="31"/>
      <c r="E46" s="31"/>
      <c r="F46" s="31" t="s">
        <v>397</v>
      </c>
      <c r="G46" s="253" t="s">
        <v>404</v>
      </c>
      <c r="H46" s="254" t="s">
        <v>103</v>
      </c>
      <c r="I46" s="254">
        <f>9784+151+243+2147+10</f>
        <v>12335</v>
      </c>
      <c r="J46" s="255">
        <f>1632636.35+19427.83+39433.45+643406.61+1522.2+33659.78+56696.23</f>
        <v>2426782.4500000002</v>
      </c>
    </row>
    <row r="47" spans="1:10" s="23" customFormat="1" ht="12.75" x14ac:dyDescent="0.2">
      <c r="B47" s="31" t="s">
        <v>405</v>
      </c>
      <c r="C47" s="31"/>
      <c r="D47" s="31"/>
      <c r="E47" s="31"/>
      <c r="F47" s="31" t="s">
        <v>397</v>
      </c>
      <c r="G47" s="253" t="s">
        <v>406</v>
      </c>
      <c r="H47" s="254" t="s">
        <v>2</v>
      </c>
      <c r="I47" s="254">
        <f>136+8+1+1</f>
        <v>146</v>
      </c>
      <c r="J47" s="255">
        <f>1008037.56+684195+154996.62+98447.56+327038.9+170797.48+28488.88+96855.05+6811.65+5579.42+130.59+49.53</f>
        <v>2581428.2399999993</v>
      </c>
    </row>
    <row r="48" spans="1:10" s="23" customFormat="1" ht="12.75" x14ac:dyDescent="0.2">
      <c r="B48" s="31" t="s">
        <v>407</v>
      </c>
      <c r="C48" s="31"/>
      <c r="D48" s="31"/>
      <c r="E48" s="31"/>
      <c r="F48" s="31" t="s">
        <v>397</v>
      </c>
      <c r="G48" s="253" t="s">
        <v>408</v>
      </c>
      <c r="H48" s="254" t="s">
        <v>2</v>
      </c>
      <c r="I48" s="254">
        <f>3+6</f>
        <v>9</v>
      </c>
      <c r="J48" s="255">
        <f>77523.29+72133.63+513126.14+16968.53+19403.33+1365.28</f>
        <v>700520.20000000007</v>
      </c>
    </row>
    <row r="49" spans="1:10" s="23" customFormat="1" ht="12.75" x14ac:dyDescent="0.2">
      <c r="B49" s="31" t="s">
        <v>409</v>
      </c>
      <c r="C49" s="31"/>
      <c r="D49" s="31"/>
      <c r="E49" s="31"/>
      <c r="F49" s="31" t="s">
        <v>397</v>
      </c>
      <c r="G49" s="253" t="s">
        <v>410</v>
      </c>
      <c r="H49" s="254" t="s">
        <v>103</v>
      </c>
      <c r="I49" s="254">
        <v>3331</v>
      </c>
      <c r="J49" s="255">
        <f>225732.43+155639.98+1126.58+2956.46</f>
        <v>385455.45000000007</v>
      </c>
    </row>
    <row r="50" spans="1:10" s="23" customFormat="1" ht="12.75" x14ac:dyDescent="0.2">
      <c r="B50" s="31" t="s">
        <v>411</v>
      </c>
      <c r="C50" s="31"/>
      <c r="D50" s="31"/>
      <c r="E50" s="31"/>
      <c r="F50" s="31" t="s">
        <v>397</v>
      </c>
      <c r="G50" s="253" t="s">
        <v>412</v>
      </c>
      <c r="H50" s="254" t="s">
        <v>103</v>
      </c>
      <c r="I50" s="254">
        <v>10073</v>
      </c>
      <c r="J50" s="255">
        <f>1164160.22+115063.04+30336.19+31253.28+115710.32+23439.67+42702.96+54410.07+83681.82+27808.5+43721.84-39696.03+21860.94-17012.59+43721.84-28354.31+21860.94-11341.73+21860.94-5670.86+21860.94+21860.94+11341.73+44355.02+109469.61+130.99+109935.16-49424.14+972.44+10993.51+9884.84+5807.08+22111.15+61841.84</f>
        <v>2120658.1599999997</v>
      </c>
    </row>
    <row r="51" spans="1:10" s="23" customFormat="1" ht="13.5" customHeight="1" x14ac:dyDescent="0.2">
      <c r="B51" s="31" t="s">
        <v>413</v>
      </c>
      <c r="C51" s="31"/>
      <c r="D51" s="31"/>
      <c r="E51" s="31"/>
      <c r="F51" s="31" t="s">
        <v>397</v>
      </c>
      <c r="G51" s="253" t="s">
        <v>414</v>
      </c>
      <c r="H51" s="254" t="s">
        <v>6</v>
      </c>
      <c r="I51" s="254">
        <v>1</v>
      </c>
      <c r="J51" s="255">
        <f>375887.74-306768.14+190338.04-161968.26+344563.73-241032.1+174476.54-127260.77+31323.97-21912.01+15861.5-11569.15+62647.94-14608.01+31723.02-7712.76+62647.94+31723.02+62647.94+29216.01+31723.02+15425.56+31323.97+29216.01+15861.5+15425.56</f>
        <v>659201.81000000017</v>
      </c>
    </row>
    <row r="52" spans="1:10" s="23" customFormat="1" ht="13.5" customHeight="1" x14ac:dyDescent="0.2">
      <c r="B52" s="31" t="s">
        <v>415</v>
      </c>
      <c r="C52" s="31"/>
      <c r="D52" s="31"/>
      <c r="E52" s="31"/>
      <c r="F52" s="31" t="s">
        <v>397</v>
      </c>
      <c r="G52" s="253" t="s">
        <v>416</v>
      </c>
      <c r="H52" s="254" t="s">
        <v>6</v>
      </c>
      <c r="I52" s="254">
        <v>1</v>
      </c>
      <c r="J52" s="255">
        <f>659.38+489.37+2995.56</f>
        <v>4144.3099999999995</v>
      </c>
    </row>
    <row r="53" spans="1:10" s="252" customFormat="1" ht="20.25" customHeight="1" x14ac:dyDescent="0.25">
      <c r="A53" s="252" t="s">
        <v>20</v>
      </c>
      <c r="B53" s="252" t="s">
        <v>417</v>
      </c>
    </row>
    <row r="54" spans="1:10" s="23" customFormat="1" ht="12.75" x14ac:dyDescent="0.2">
      <c r="B54" s="31" t="s">
        <v>420</v>
      </c>
      <c r="C54" s="31"/>
      <c r="D54" s="31"/>
      <c r="E54" s="31"/>
      <c r="F54" s="31" t="s">
        <v>418</v>
      </c>
      <c r="G54" s="253" t="s">
        <v>421</v>
      </c>
      <c r="H54" s="254" t="s">
        <v>2</v>
      </c>
      <c r="I54" s="254">
        <v>9</v>
      </c>
      <c r="J54" s="255">
        <f>50903.81+32896.62</f>
        <v>83800.429999999993</v>
      </c>
    </row>
    <row r="55" spans="1:10" s="256" customFormat="1" ht="12.75" x14ac:dyDescent="0.2">
      <c r="B55" s="257" t="s">
        <v>422</v>
      </c>
      <c r="C55" s="257"/>
      <c r="D55" s="257"/>
      <c r="E55" s="257"/>
      <c r="F55" s="257" t="s">
        <v>418</v>
      </c>
      <c r="G55" s="258" t="s">
        <v>423</v>
      </c>
      <c r="H55" s="259" t="s">
        <v>2</v>
      </c>
      <c r="I55" s="259">
        <v>9</v>
      </c>
      <c r="J55" s="260">
        <f>2381880.9+776734.7</f>
        <v>3158615.5999999996</v>
      </c>
    </row>
    <row r="56" spans="1:10" s="256" customFormat="1" ht="12.75" x14ac:dyDescent="0.2">
      <c r="B56" s="257" t="s">
        <v>419</v>
      </c>
      <c r="C56" s="257"/>
      <c r="D56" s="257"/>
      <c r="E56" s="257"/>
      <c r="F56" s="257" t="s">
        <v>418</v>
      </c>
      <c r="G56" s="258" t="s">
        <v>424</v>
      </c>
      <c r="H56" s="259" t="s">
        <v>6</v>
      </c>
      <c r="I56" s="259">
        <v>1</v>
      </c>
      <c r="J56" s="260">
        <f>474804.73+19684.27</f>
        <v>494489</v>
      </c>
    </row>
    <row r="57" spans="1:10" s="23" customFormat="1" ht="12.75" x14ac:dyDescent="0.2">
      <c r="B57" s="31" t="s">
        <v>425</v>
      </c>
      <c r="C57" s="31"/>
      <c r="D57" s="31"/>
      <c r="E57" s="31"/>
      <c r="F57" s="31" t="s">
        <v>418</v>
      </c>
      <c r="G57" s="253" t="s">
        <v>426</v>
      </c>
      <c r="H57" s="254" t="s">
        <v>2</v>
      </c>
      <c r="I57" s="254">
        <v>13</v>
      </c>
      <c r="J57" s="255">
        <v>47517.35</v>
      </c>
    </row>
    <row r="58" spans="1:10" s="256" customFormat="1" ht="12.75" x14ac:dyDescent="0.2">
      <c r="B58" s="257" t="s">
        <v>427</v>
      </c>
      <c r="C58" s="257"/>
      <c r="D58" s="257"/>
      <c r="E58" s="257"/>
      <c r="F58" s="257" t="s">
        <v>418</v>
      </c>
      <c r="G58" s="258" t="s">
        <v>428</v>
      </c>
      <c r="H58" s="259" t="s">
        <v>2</v>
      </c>
      <c r="I58" s="259">
        <v>13</v>
      </c>
      <c r="J58" s="260">
        <f>4284885.61</f>
        <v>4284885.6100000003</v>
      </c>
    </row>
    <row r="59" spans="1:10" s="256" customFormat="1" ht="12.75" x14ac:dyDescent="0.2">
      <c r="B59" s="257" t="s">
        <v>419</v>
      </c>
      <c r="C59" s="257"/>
      <c r="D59" s="257"/>
      <c r="E59" s="257"/>
      <c r="F59" s="257" t="s">
        <v>418</v>
      </c>
      <c r="G59" s="258" t="s">
        <v>429</v>
      </c>
      <c r="H59" s="259" t="s">
        <v>6</v>
      </c>
      <c r="I59" s="259">
        <v>1</v>
      </c>
      <c r="J59" s="260">
        <v>173078.44</v>
      </c>
    </row>
    <row r="60" spans="1:10" s="23" customFormat="1" ht="12.75" x14ac:dyDescent="0.2">
      <c r="B60" s="31"/>
      <c r="C60" s="31"/>
      <c r="D60" s="31"/>
      <c r="E60" s="31"/>
      <c r="F60" s="31"/>
      <c r="G60" s="253"/>
      <c r="H60" s="254"/>
      <c r="I60" s="254"/>
      <c r="J60" s="255"/>
    </row>
    <row r="61" spans="1:10" s="12" customFormat="1" ht="24" customHeight="1" x14ac:dyDescent="0.25">
      <c r="A61" s="215"/>
      <c r="B61" s="215"/>
      <c r="C61" s="215"/>
      <c r="D61" s="215"/>
      <c r="I61" s="36"/>
    </row>
    <row r="62" spans="1:10" s="30" customFormat="1" ht="12.75" x14ac:dyDescent="0.2">
      <c r="B62" s="30" t="s">
        <v>430</v>
      </c>
    </row>
    <row r="63" spans="1:10" s="262" customFormat="1" ht="25.5" customHeight="1" x14ac:dyDescent="0.2">
      <c r="A63" s="261" t="s">
        <v>20</v>
      </c>
      <c r="B63" s="824" t="s">
        <v>431</v>
      </c>
      <c r="C63" s="824"/>
      <c r="D63" s="824"/>
      <c r="E63" s="824"/>
      <c r="F63" s="824"/>
      <c r="G63" s="824"/>
      <c r="H63" s="824"/>
      <c r="I63" s="824"/>
    </row>
    <row r="64" spans="1:10" s="14" customFormat="1" ht="15" customHeight="1" x14ac:dyDescent="0.25">
      <c r="C64" s="14" t="s">
        <v>432</v>
      </c>
      <c r="D64" s="12" t="s">
        <v>433</v>
      </c>
      <c r="J64" s="263"/>
    </row>
    <row r="65" spans="1:10" s="14" customFormat="1" ht="15" customHeight="1" x14ac:dyDescent="0.25">
      <c r="B65" s="14" t="s">
        <v>29</v>
      </c>
      <c r="C65" s="263">
        <f>J42+J43+J46+J47+J48+J50+J51+J49</f>
        <v>10067325.819999998</v>
      </c>
      <c r="D65" s="14">
        <f>ROUND(C65/10073,2)</f>
        <v>999.44</v>
      </c>
      <c r="J65" s="263"/>
    </row>
    <row r="66" spans="1:10" s="14" customFormat="1" ht="15" customHeight="1" x14ac:dyDescent="0.25">
      <c r="B66" s="14" t="s">
        <v>13</v>
      </c>
      <c r="C66" s="263">
        <f>J44+J45</f>
        <v>353184.62</v>
      </c>
      <c r="D66" s="14">
        <f>ROUND(C66/10073,2)</f>
        <v>35.06</v>
      </c>
    </row>
    <row r="67" spans="1:10" s="264" customFormat="1" ht="15" customHeight="1" x14ac:dyDescent="0.25">
      <c r="A67" s="261" t="s">
        <v>21</v>
      </c>
      <c r="B67" s="824" t="s">
        <v>377</v>
      </c>
      <c r="C67" s="824"/>
      <c r="D67" s="824"/>
      <c r="E67" s="824"/>
      <c r="F67" s="824"/>
      <c r="G67" s="824"/>
      <c r="H67" s="824"/>
      <c r="I67" s="824"/>
    </row>
    <row r="68" spans="1:10" s="14" customFormat="1" ht="15" customHeight="1" x14ac:dyDescent="0.25">
      <c r="C68" s="12" t="s">
        <v>434</v>
      </c>
      <c r="D68" s="12" t="s">
        <v>435</v>
      </c>
      <c r="J68" s="263"/>
    </row>
    <row r="69" spans="1:10" s="14" customFormat="1" ht="15" customHeight="1" x14ac:dyDescent="0.25">
      <c r="B69" s="14" t="s">
        <v>29</v>
      </c>
      <c r="C69" s="263">
        <f>J57</f>
        <v>47517.35</v>
      </c>
      <c r="D69" s="263">
        <f>ROUND(C69/13,2)</f>
        <v>3655.18</v>
      </c>
    </row>
    <row r="70" spans="1:10" s="14" customFormat="1" ht="15" customHeight="1" x14ac:dyDescent="0.25">
      <c r="B70" s="14" t="s">
        <v>12</v>
      </c>
      <c r="C70" s="263">
        <f>J58</f>
        <v>4284885.6100000003</v>
      </c>
      <c r="D70" s="263">
        <f t="shared" ref="D70:D71" si="0">ROUND(C70/13,2)</f>
        <v>329606.59000000003</v>
      </c>
    </row>
    <row r="71" spans="1:10" s="14" customFormat="1" ht="15" customHeight="1" x14ac:dyDescent="0.25">
      <c r="B71" s="14" t="s">
        <v>419</v>
      </c>
      <c r="C71" s="263">
        <f>J59</f>
        <v>173078.44</v>
      </c>
      <c r="D71" s="263">
        <f t="shared" si="0"/>
        <v>13313.73</v>
      </c>
    </row>
    <row r="72" spans="1:10" s="264" customFormat="1" ht="15" customHeight="1" x14ac:dyDescent="0.25">
      <c r="A72" s="261" t="s">
        <v>63</v>
      </c>
      <c r="B72" s="824" t="s">
        <v>378</v>
      </c>
      <c r="C72" s="824"/>
      <c r="D72" s="824"/>
      <c r="E72" s="824"/>
      <c r="F72" s="824"/>
      <c r="G72" s="824"/>
      <c r="H72" s="824"/>
      <c r="I72" s="824"/>
    </row>
    <row r="73" spans="1:10" s="14" customFormat="1" ht="15" customHeight="1" x14ac:dyDescent="0.25">
      <c r="C73" s="12" t="s">
        <v>436</v>
      </c>
      <c r="D73" s="12" t="s">
        <v>435</v>
      </c>
    </row>
    <row r="74" spans="1:10" s="14" customFormat="1" ht="15" customHeight="1" x14ac:dyDescent="0.25">
      <c r="B74" s="14" t="s">
        <v>29</v>
      </c>
      <c r="C74" s="263">
        <f>J54</f>
        <v>83800.429999999993</v>
      </c>
      <c r="D74" s="263">
        <f>ROUND(C74/9,2)</f>
        <v>9311.16</v>
      </c>
    </row>
    <row r="75" spans="1:10" s="14" customFormat="1" ht="15" customHeight="1" x14ac:dyDescent="0.25">
      <c r="B75" s="14" t="s">
        <v>12</v>
      </c>
      <c r="C75" s="263">
        <f>J55</f>
        <v>3158615.5999999996</v>
      </c>
      <c r="D75" s="263">
        <f t="shared" ref="D75:D76" si="1">ROUND(C75/9,2)</f>
        <v>350957.29</v>
      </c>
    </row>
    <row r="76" spans="1:10" s="14" customFormat="1" ht="15" customHeight="1" x14ac:dyDescent="0.25">
      <c r="B76" s="14" t="s">
        <v>419</v>
      </c>
      <c r="C76" s="263">
        <f>J56</f>
        <v>494489</v>
      </c>
      <c r="D76" s="263">
        <f t="shared" si="1"/>
        <v>54943.22</v>
      </c>
    </row>
    <row r="77" spans="1:10" x14ac:dyDescent="0.25">
      <c r="A77" s="778" t="s">
        <v>79</v>
      </c>
      <c r="B77" s="778"/>
      <c r="C77" s="778"/>
      <c r="D77" s="778"/>
      <c r="E77" s="778"/>
      <c r="F77" s="778"/>
      <c r="G77" s="778"/>
      <c r="H77" s="778"/>
      <c r="I77" s="778"/>
      <c r="J77" s="778"/>
    </row>
    <row r="79" spans="1:10" s="37" customFormat="1" x14ac:dyDescent="0.25">
      <c r="A79" s="37" t="s">
        <v>20</v>
      </c>
      <c r="B79" s="37" t="s">
        <v>437</v>
      </c>
      <c r="F79" s="38">
        <f>F85</f>
        <v>1285.57</v>
      </c>
    </row>
    <row r="80" spans="1:10" s="23" customFormat="1" ht="12.75" x14ac:dyDescent="0.2">
      <c r="B80" s="23" t="s">
        <v>82</v>
      </c>
      <c r="F80" s="39">
        <f>D65+D66</f>
        <v>1034.5</v>
      </c>
    </row>
    <row r="81" spans="1:7" s="23" customFormat="1" ht="12.75" x14ac:dyDescent="0.2">
      <c r="B81" s="23" t="s">
        <v>83</v>
      </c>
      <c r="F81" s="39">
        <f>ROUND(D65*0.029,2)</f>
        <v>28.98</v>
      </c>
    </row>
    <row r="82" spans="1:7" s="23" customFormat="1" ht="12.75" x14ac:dyDescent="0.2">
      <c r="B82" s="23" t="s">
        <v>84</v>
      </c>
      <c r="F82" s="39">
        <f>ROUND(D65*0.02,2)</f>
        <v>19.989999999999998</v>
      </c>
    </row>
    <row r="83" spans="1:7" s="23" customFormat="1" ht="12.75" x14ac:dyDescent="0.2">
      <c r="B83" s="23" t="s">
        <v>85</v>
      </c>
      <c r="F83" s="39">
        <f>ROUND(D65*0.015,2)</f>
        <v>14.99</v>
      </c>
    </row>
    <row r="84" spans="1:7" s="23" customFormat="1" ht="12.75" x14ac:dyDescent="0.2">
      <c r="B84" s="23" t="s">
        <v>86</v>
      </c>
      <c r="F84" s="39">
        <f>ROUND((F80+F81+F83)*0.02,2)</f>
        <v>21.57</v>
      </c>
    </row>
    <row r="85" spans="1:7" s="575" customFormat="1" ht="12.75" x14ac:dyDescent="0.2">
      <c r="B85" s="575" t="s">
        <v>724</v>
      </c>
      <c r="F85" s="582">
        <f>ROUND((F80+F81+F82+F83+F84)*G85,2)</f>
        <v>1285.57</v>
      </c>
      <c r="G85" s="575">
        <f>[16]МГЭ!$I$3</f>
        <v>1.1477999999999999</v>
      </c>
    </row>
    <row r="86" spans="1:7" s="23" customFormat="1" ht="12.75" x14ac:dyDescent="0.2">
      <c r="F86" s="39"/>
    </row>
    <row r="87" spans="1:7" s="37" customFormat="1" x14ac:dyDescent="0.25">
      <c r="A87" s="37" t="s">
        <v>21</v>
      </c>
      <c r="B87" s="37" t="s">
        <v>438</v>
      </c>
      <c r="F87" s="38">
        <f>F93</f>
        <v>498284.02</v>
      </c>
    </row>
    <row r="88" spans="1:7" s="23" customFormat="1" ht="12.75" x14ac:dyDescent="0.2">
      <c r="B88" s="23" t="s">
        <v>82</v>
      </c>
      <c r="F88" s="39">
        <f>D69+D70+D71</f>
        <v>346575.5</v>
      </c>
    </row>
    <row r="89" spans="1:7" s="23" customFormat="1" ht="12.75" x14ac:dyDescent="0.2">
      <c r="B89" s="23" t="s">
        <v>83</v>
      </c>
      <c r="F89" s="39">
        <f>ROUND((+D69)*0.029,2)</f>
        <v>106</v>
      </c>
    </row>
    <row r="90" spans="1:7" s="23" customFormat="1" ht="12.75" x14ac:dyDescent="0.2">
      <c r="B90" s="23" t="s">
        <v>84</v>
      </c>
      <c r="F90" s="39">
        <f>ROUND((D69)*0.02,2)</f>
        <v>73.099999999999994</v>
      </c>
    </row>
    <row r="91" spans="1:7" s="23" customFormat="1" ht="12.75" x14ac:dyDescent="0.2">
      <c r="B91" s="23" t="s">
        <v>85</v>
      </c>
      <c r="F91" s="39">
        <f>ROUND((D69)*0.015,2)</f>
        <v>54.83</v>
      </c>
    </row>
    <row r="92" spans="1:7" s="23" customFormat="1" ht="12.75" x14ac:dyDescent="0.2">
      <c r="B92" s="23" t="s">
        <v>86</v>
      </c>
      <c r="F92" s="39">
        <f>ROUND((F88+F89+F91)*0.02,2)</f>
        <v>6934.73</v>
      </c>
    </row>
    <row r="93" spans="1:7" s="575" customFormat="1" ht="12.75" x14ac:dyDescent="0.2">
      <c r="B93" s="575" t="s">
        <v>730</v>
      </c>
      <c r="F93" s="582">
        <f>ROUND((F88+F89+F90+F91+F92)*G93,2)</f>
        <v>498284.02</v>
      </c>
      <c r="G93" s="575">
        <f>[16]МГЭ!$I$10</f>
        <v>1.4086000000000001</v>
      </c>
    </row>
    <row r="94" spans="1:7" x14ac:dyDescent="0.25">
      <c r="F94" s="251"/>
    </row>
    <row r="95" spans="1:7" s="37" customFormat="1" ht="15.75" customHeight="1" x14ac:dyDescent="0.25">
      <c r="A95" s="37" t="s">
        <v>63</v>
      </c>
      <c r="B95" s="37" t="s">
        <v>439</v>
      </c>
      <c r="F95" s="38">
        <f>F101</f>
        <v>597415.44999999995</v>
      </c>
    </row>
    <row r="96" spans="1:7" s="23" customFormat="1" ht="12.75" x14ac:dyDescent="0.2">
      <c r="B96" s="23" t="s">
        <v>82</v>
      </c>
      <c r="F96" s="39">
        <f>D74+D75+D76</f>
        <v>415211.66999999993</v>
      </c>
    </row>
    <row r="97" spans="1:9" s="23" customFormat="1" ht="12.75" x14ac:dyDescent="0.2">
      <c r="B97" s="23" t="s">
        <v>83</v>
      </c>
      <c r="F97" s="39">
        <f>ROUND((D74)*0.029,2)</f>
        <v>270.02</v>
      </c>
    </row>
    <row r="98" spans="1:9" s="23" customFormat="1" ht="12.75" x14ac:dyDescent="0.2">
      <c r="B98" s="23" t="s">
        <v>84</v>
      </c>
      <c r="F98" s="39">
        <f>ROUND((D74)*0.02,2)</f>
        <v>186.22</v>
      </c>
    </row>
    <row r="99" spans="1:9" s="23" customFormat="1" ht="12.75" x14ac:dyDescent="0.2">
      <c r="B99" s="23" t="s">
        <v>85</v>
      </c>
      <c r="F99" s="39">
        <f>ROUND((D74)*0.015,2)</f>
        <v>139.66999999999999</v>
      </c>
    </row>
    <row r="100" spans="1:9" s="23" customFormat="1" ht="12.75" x14ac:dyDescent="0.2">
      <c r="B100" s="23" t="s">
        <v>86</v>
      </c>
      <c r="F100" s="39">
        <f>ROUND((F96+F97+F99)*0.02,2)</f>
        <v>8312.43</v>
      </c>
    </row>
    <row r="101" spans="1:9" s="575" customFormat="1" ht="12.75" x14ac:dyDescent="0.2">
      <c r="B101" s="575" t="s">
        <v>730</v>
      </c>
      <c r="F101" s="582">
        <f>ROUND((F96+F97+F98+F99+F100)*G101,2)</f>
        <v>597415.44999999995</v>
      </c>
      <c r="G101" s="575">
        <f>G93</f>
        <v>1.4086000000000001</v>
      </c>
    </row>
    <row r="102" spans="1:9" x14ac:dyDescent="0.25">
      <c r="F102" s="251"/>
    </row>
    <row r="103" spans="1:9" ht="16.5" thickBot="1" x14ac:dyDescent="0.3"/>
    <row r="104" spans="1:9" s="37" customFormat="1" x14ac:dyDescent="0.25">
      <c r="A104" s="265"/>
      <c r="B104" s="266" t="s">
        <v>445</v>
      </c>
      <c r="C104" s="266"/>
      <c r="D104" s="266"/>
      <c r="E104" s="266"/>
      <c r="F104" s="266"/>
      <c r="G104" s="266"/>
      <c r="H104" s="266"/>
      <c r="I104" s="267"/>
    </row>
    <row r="105" spans="1:9" x14ac:dyDescent="0.25">
      <c r="A105" s="268"/>
      <c r="B105" s="269"/>
      <c r="C105" s="269"/>
      <c r="D105" s="269"/>
      <c r="E105" s="269"/>
      <c r="F105" s="269"/>
      <c r="G105" s="269"/>
      <c r="H105" s="269"/>
      <c r="I105" s="270"/>
    </row>
    <row r="106" spans="1:9" x14ac:dyDescent="0.25">
      <c r="A106" s="268"/>
      <c r="B106" s="269"/>
      <c r="C106" s="269"/>
      <c r="D106" s="269"/>
      <c r="E106" s="269"/>
      <c r="F106" s="269" t="s">
        <v>394</v>
      </c>
      <c r="G106" s="269" t="s">
        <v>440</v>
      </c>
      <c r="H106" s="846" t="s">
        <v>441</v>
      </c>
      <c r="I106" s="847"/>
    </row>
    <row r="107" spans="1:9" x14ac:dyDescent="0.25">
      <c r="A107" s="268"/>
      <c r="B107" s="271" t="s">
        <v>442</v>
      </c>
      <c r="C107" s="269"/>
      <c r="D107" s="269"/>
      <c r="E107" s="269"/>
      <c r="F107" s="269"/>
      <c r="G107" s="269"/>
      <c r="H107" s="269"/>
      <c r="I107" s="270"/>
    </row>
    <row r="108" spans="1:9" x14ac:dyDescent="0.25">
      <c r="A108" s="268"/>
      <c r="B108" s="269" t="s">
        <v>437</v>
      </c>
      <c r="C108" s="269"/>
      <c r="D108" s="269"/>
      <c r="E108" s="269" t="s">
        <v>103</v>
      </c>
      <c r="F108" s="272">
        <f>3825+4000</f>
        <v>7825</v>
      </c>
      <c r="G108" s="272">
        <f>F79/1000</f>
        <v>1.2855699999999999</v>
      </c>
      <c r="H108" s="842">
        <f>ROUND(F108*G108,2)</f>
        <v>10059.59</v>
      </c>
      <c r="I108" s="843"/>
    </row>
    <row r="109" spans="1:9" x14ac:dyDescent="0.25">
      <c r="A109" s="268"/>
      <c r="B109" s="269" t="s">
        <v>438</v>
      </c>
      <c r="C109" s="269"/>
      <c r="D109" s="269"/>
      <c r="E109" s="269" t="s">
        <v>2</v>
      </c>
      <c r="F109" s="272">
        <v>40</v>
      </c>
      <c r="G109" s="272">
        <f>F87/1000</f>
        <v>498.28402</v>
      </c>
      <c r="H109" s="842">
        <f>ROUND(F109*G109,2)</f>
        <v>19931.36</v>
      </c>
      <c r="I109" s="843"/>
    </row>
    <row r="110" spans="1:9" x14ac:dyDescent="0.25">
      <c r="A110" s="268"/>
      <c r="B110" s="269" t="s">
        <v>439</v>
      </c>
      <c r="C110" s="269"/>
      <c r="D110" s="269"/>
      <c r="E110" s="269" t="s">
        <v>2</v>
      </c>
      <c r="F110" s="272">
        <v>20</v>
      </c>
      <c r="G110" s="272">
        <f>F95/1000</f>
        <v>597.41544999999996</v>
      </c>
      <c r="H110" s="842">
        <f>ROUND(F110*G110,2)</f>
        <v>11948.31</v>
      </c>
      <c r="I110" s="843"/>
    </row>
    <row r="111" spans="1:9" s="279" customFormat="1" ht="33" customHeight="1" x14ac:dyDescent="0.25">
      <c r="A111" s="276"/>
      <c r="B111" s="841" t="s">
        <v>443</v>
      </c>
      <c r="C111" s="841"/>
      <c r="D111" s="841"/>
      <c r="E111" s="277" t="s">
        <v>103</v>
      </c>
      <c r="F111" s="278">
        <v>2000</v>
      </c>
      <c r="G111" s="278">
        <f>'расчет 9.'!J20</f>
        <v>2.2830877539659515</v>
      </c>
      <c r="H111" s="844">
        <f>G111*F111</f>
        <v>4566.1755079319028</v>
      </c>
      <c r="I111" s="845"/>
    </row>
    <row r="112" spans="1:9" s="37" customFormat="1" x14ac:dyDescent="0.25">
      <c r="A112" s="280"/>
      <c r="B112" s="281" t="s">
        <v>444</v>
      </c>
      <c r="C112" s="281"/>
      <c r="D112" s="281"/>
      <c r="E112" s="281"/>
      <c r="F112" s="282"/>
      <c r="G112" s="282"/>
      <c r="H112" s="281"/>
      <c r="I112" s="283">
        <f>H108+H109+H110+H111</f>
        <v>46505.435507931907</v>
      </c>
    </row>
    <row r="113" spans="1:12" ht="16.5" thickBot="1" x14ac:dyDescent="0.3">
      <c r="A113" s="273"/>
      <c r="B113" s="274"/>
      <c r="C113" s="274"/>
      <c r="D113" s="274"/>
      <c r="E113" s="274"/>
      <c r="F113" s="274"/>
      <c r="G113" s="274"/>
      <c r="H113" s="274"/>
      <c r="I113" s="275"/>
    </row>
    <row r="115" spans="1:12" s="53" customFormat="1" ht="21" customHeight="1" x14ac:dyDescent="0.25">
      <c r="A115" s="748" t="s">
        <v>703</v>
      </c>
      <c r="B115" s="749"/>
      <c r="C115" s="749"/>
      <c r="D115" s="749"/>
      <c r="E115" s="749"/>
      <c r="F115" s="749"/>
      <c r="G115" s="749"/>
      <c r="H115" s="749"/>
      <c r="I115" s="749"/>
      <c r="J115" s="749"/>
      <c r="K115" s="749"/>
      <c r="L115" s="749"/>
    </row>
    <row r="117" spans="1:12" x14ac:dyDescent="0.25">
      <c r="A117" s="50" t="s">
        <v>20</v>
      </c>
      <c r="B117" s="750" t="s">
        <v>292</v>
      </c>
      <c r="C117" s="750"/>
      <c r="D117" s="750"/>
      <c r="E117" s="750"/>
      <c r="F117" s="750"/>
      <c r="G117" s="750"/>
      <c r="H117" s="750"/>
      <c r="I117" s="750"/>
      <c r="J117" s="750"/>
      <c r="K117" s="750"/>
      <c r="L117" s="750"/>
    </row>
    <row r="118" spans="1:12" x14ac:dyDescent="0.25">
      <c r="A118" s="54" t="s">
        <v>97</v>
      </c>
      <c r="B118" s="751" t="s">
        <v>98</v>
      </c>
      <c r="C118" s="752"/>
      <c r="D118" s="751" t="s">
        <v>99</v>
      </c>
      <c r="E118" s="755"/>
      <c r="F118" s="755"/>
      <c r="G118" s="755"/>
      <c r="H118" s="752"/>
      <c r="I118" s="751" t="s">
        <v>100</v>
      </c>
      <c r="J118" s="755"/>
      <c r="K118" s="755"/>
      <c r="L118" s="752"/>
    </row>
    <row r="119" spans="1:12" x14ac:dyDescent="0.25">
      <c r="A119" s="55" t="s">
        <v>19</v>
      </c>
      <c r="B119" s="753"/>
      <c r="C119" s="754"/>
      <c r="D119" s="753" t="s">
        <v>704</v>
      </c>
      <c r="E119" s="756"/>
      <c r="F119" s="756"/>
      <c r="G119" s="756"/>
      <c r="H119" s="754"/>
      <c r="I119" s="753" t="s">
        <v>705</v>
      </c>
      <c r="J119" s="756"/>
      <c r="K119" s="756"/>
      <c r="L119" s="754"/>
    </row>
    <row r="120" spans="1:12" x14ac:dyDescent="0.25">
      <c r="A120" s="56">
        <v>1</v>
      </c>
      <c r="B120" s="737" t="s">
        <v>101</v>
      </c>
      <c r="C120" s="737"/>
      <c r="D120" s="57"/>
      <c r="E120" s="57"/>
      <c r="F120" s="57"/>
      <c r="G120" s="57"/>
      <c r="H120" s="57"/>
      <c r="I120" s="58"/>
      <c r="J120" s="554"/>
      <c r="K120" s="554"/>
      <c r="L120" s="555"/>
    </row>
    <row r="121" spans="1:12" x14ac:dyDescent="0.25">
      <c r="A121" s="50" t="s">
        <v>102</v>
      </c>
      <c r="B121" s="721" t="s">
        <v>706</v>
      </c>
      <c r="C121" s="721"/>
      <c r="D121" s="61"/>
      <c r="E121" s="61"/>
      <c r="F121" s="553" t="s">
        <v>707</v>
      </c>
      <c r="G121" s="553"/>
      <c r="H121" s="61"/>
      <c r="I121" s="774" t="s">
        <v>707</v>
      </c>
      <c r="J121" s="774"/>
      <c r="K121" s="774"/>
      <c r="L121" s="775"/>
    </row>
    <row r="122" spans="1:12" x14ac:dyDescent="0.25">
      <c r="A122" s="64">
        <v>2</v>
      </c>
      <c r="B122" s="741" t="s">
        <v>297</v>
      </c>
      <c r="C122" s="721"/>
      <c r="D122" s="742">
        <f>D124+D125+D126+F127</f>
        <v>3047.94</v>
      </c>
      <c r="E122" s="742"/>
      <c r="F122" s="742"/>
      <c r="G122" s="742"/>
      <c r="H122" s="742"/>
      <c r="I122" s="742">
        <f>(I124+I125+I126+I127+I128+I129+I130+I131)</f>
        <v>3227.3369567999998</v>
      </c>
      <c r="J122" s="742"/>
      <c r="K122" s="742"/>
      <c r="L122" s="743"/>
    </row>
    <row r="123" spans="1:12" x14ac:dyDescent="0.25">
      <c r="A123" s="65"/>
      <c r="B123" s="735" t="s">
        <v>106</v>
      </c>
      <c r="C123" s="735"/>
      <c r="D123" s="548"/>
      <c r="E123" s="736"/>
      <c r="F123" s="736"/>
      <c r="G123" s="736"/>
      <c r="H123" s="736"/>
      <c r="I123" s="736"/>
      <c r="J123" s="68"/>
      <c r="K123" s="68"/>
      <c r="L123" s="69"/>
    </row>
    <row r="124" spans="1:12" x14ac:dyDescent="0.25">
      <c r="A124" s="65"/>
      <c r="B124" s="735" t="s">
        <v>107</v>
      </c>
      <c r="C124" s="735"/>
      <c r="D124" s="736">
        <f>C141</f>
        <v>500.88</v>
      </c>
      <c r="E124" s="736"/>
      <c r="F124" s="736"/>
      <c r="G124" s="736"/>
      <c r="H124" s="736"/>
      <c r="I124" s="736">
        <f>H141</f>
        <v>500.88</v>
      </c>
      <c r="J124" s="736"/>
      <c r="K124" s="736"/>
      <c r="L124" s="773"/>
    </row>
    <row r="125" spans="1:12" x14ac:dyDescent="0.25">
      <c r="A125" s="65"/>
      <c r="B125" s="735" t="s">
        <v>108</v>
      </c>
      <c r="C125" s="735"/>
      <c r="D125" s="736">
        <f>D141</f>
        <v>1313.43</v>
      </c>
      <c r="E125" s="736"/>
      <c r="F125" s="736"/>
      <c r="G125" s="736"/>
      <c r="H125" s="736"/>
      <c r="I125" s="736">
        <f>I140</f>
        <v>1313.43</v>
      </c>
      <c r="J125" s="736"/>
      <c r="K125" s="736"/>
      <c r="L125" s="773"/>
    </row>
    <row r="126" spans="1:12" x14ac:dyDescent="0.25">
      <c r="A126" s="65"/>
      <c r="B126" s="735" t="s">
        <v>109</v>
      </c>
      <c r="C126" s="735"/>
      <c r="D126" s="736">
        <f>E141</f>
        <v>1077.98</v>
      </c>
      <c r="E126" s="736"/>
      <c r="F126" s="736"/>
      <c r="G126" s="736"/>
      <c r="H126" s="736"/>
      <c r="I126" s="736">
        <f>J140</f>
        <v>1077.98</v>
      </c>
      <c r="J126" s="736"/>
      <c r="K126" s="736"/>
      <c r="L126" s="773"/>
    </row>
    <row r="127" spans="1:12" x14ac:dyDescent="0.25">
      <c r="A127" s="65"/>
      <c r="B127" s="549" t="s">
        <v>110</v>
      </c>
      <c r="C127" s="549"/>
      <c r="D127" s="736">
        <f>F141</f>
        <v>155.65</v>
      </c>
      <c r="E127" s="736"/>
      <c r="F127" s="736">
        <f>F141</f>
        <v>155.65</v>
      </c>
      <c r="G127" s="736"/>
      <c r="H127" s="736"/>
      <c r="I127" s="736">
        <f>K141</f>
        <v>155.65</v>
      </c>
      <c r="J127" s="736"/>
      <c r="K127" s="736"/>
      <c r="L127" s="773"/>
    </row>
    <row r="128" spans="1:12" x14ac:dyDescent="0.25">
      <c r="A128" s="65"/>
      <c r="B128" s="549" t="s">
        <v>85</v>
      </c>
      <c r="C128" s="549"/>
      <c r="D128" s="548"/>
      <c r="E128" s="548"/>
      <c r="F128" s="548"/>
      <c r="G128" s="548"/>
      <c r="H128" s="548"/>
      <c r="I128" s="736">
        <f>(I124+I125)*0.015</f>
        <v>27.214649999999999</v>
      </c>
      <c r="J128" s="736"/>
      <c r="K128" s="736"/>
      <c r="L128" s="773"/>
    </row>
    <row r="129" spans="1:13" x14ac:dyDescent="0.25">
      <c r="A129" s="65"/>
      <c r="B129" s="549" t="s">
        <v>39</v>
      </c>
      <c r="C129" s="549"/>
      <c r="D129" s="548"/>
      <c r="E129" s="548"/>
      <c r="F129" s="548"/>
      <c r="G129" s="548"/>
      <c r="H129" s="548"/>
      <c r="I129" s="736">
        <f>(I124+I125)*0.029</f>
        <v>52.614989999999999</v>
      </c>
      <c r="J129" s="736"/>
      <c r="K129" s="736"/>
      <c r="L129" s="773"/>
    </row>
    <row r="130" spans="1:13" x14ac:dyDescent="0.25">
      <c r="A130" s="65"/>
      <c r="B130" s="549" t="s">
        <v>40</v>
      </c>
      <c r="C130" s="549"/>
      <c r="D130" s="548"/>
      <c r="E130" s="548"/>
      <c r="F130" s="548"/>
      <c r="G130" s="548"/>
      <c r="H130" s="548"/>
      <c r="I130" s="736">
        <f>(I124+I125)*0.02</f>
        <v>36.286200000000001</v>
      </c>
      <c r="J130" s="736"/>
      <c r="K130" s="736"/>
      <c r="L130" s="773"/>
    </row>
    <row r="131" spans="1:13" x14ac:dyDescent="0.25">
      <c r="A131" s="65"/>
      <c r="B131" s="549" t="s">
        <v>163</v>
      </c>
      <c r="C131" s="549"/>
      <c r="D131" s="548"/>
      <c r="E131" s="548"/>
      <c r="F131" s="548"/>
      <c r="G131" s="548"/>
      <c r="H131" s="548"/>
      <c r="I131" s="736">
        <f>(I124+I127+I128+I129+I130+I126+I125)*0.02</f>
        <v>63.2811168</v>
      </c>
      <c r="J131" s="736"/>
      <c r="K131" s="736"/>
      <c r="L131" s="773"/>
    </row>
    <row r="132" spans="1:13" s="583" customFormat="1" x14ac:dyDescent="0.25">
      <c r="A132" s="576"/>
      <c r="B132" s="571" t="s">
        <v>722</v>
      </c>
      <c r="C132" s="571"/>
      <c r="D132" s="562"/>
      <c r="E132" s="562"/>
      <c r="F132" s="562"/>
      <c r="G132" s="562"/>
      <c r="H132" s="562"/>
      <c r="I132" s="562"/>
      <c r="J132" s="825">
        <f>I122*M132</f>
        <v>3704.3373590150395</v>
      </c>
      <c r="K132" s="825"/>
      <c r="L132" s="577"/>
      <c r="M132" s="583">
        <f>[16]МГЭ!$I$3</f>
        <v>1.1477999999999999</v>
      </c>
    </row>
    <row r="133" spans="1:13" x14ac:dyDescent="0.25">
      <c r="A133" s="65"/>
      <c r="B133" s="208" t="s">
        <v>709</v>
      </c>
      <c r="C133" s="208"/>
      <c r="D133" s="208"/>
      <c r="E133" s="208"/>
      <c r="F133" s="208"/>
      <c r="G133" s="208"/>
      <c r="H133" s="208"/>
      <c r="I133" s="101">
        <f>J132</f>
        <v>3704.3373590150395</v>
      </c>
      <c r="J133" s="101"/>
      <c r="K133" s="101"/>
      <c r="L133" s="102"/>
    </row>
    <row r="134" spans="1:13" x14ac:dyDescent="0.25">
      <c r="A134" s="65"/>
      <c r="B134" s="549"/>
      <c r="C134" s="549"/>
      <c r="D134" s="548"/>
      <c r="E134" s="548"/>
      <c r="F134" s="548"/>
      <c r="G134" s="548"/>
      <c r="H134" s="548"/>
      <c r="I134" s="548"/>
      <c r="J134" s="548"/>
      <c r="K134" s="548"/>
      <c r="L134" s="552"/>
    </row>
    <row r="135" spans="1:13" x14ac:dyDescent="0.25">
      <c r="A135" s="720" t="s">
        <v>295</v>
      </c>
      <c r="B135" s="721"/>
      <c r="C135" s="721"/>
      <c r="D135" s="721"/>
      <c r="E135" s="721"/>
      <c r="F135" s="721"/>
      <c r="G135" s="721"/>
      <c r="H135" s="721"/>
      <c r="I135" s="721"/>
      <c r="J135" s="721"/>
      <c r="K135" s="721"/>
      <c r="L135" s="722"/>
    </row>
    <row r="136" spans="1:13" x14ac:dyDescent="0.25">
      <c r="A136" s="723" t="s">
        <v>112</v>
      </c>
      <c r="B136" s="726" t="s">
        <v>113</v>
      </c>
      <c r="C136" s="729" t="s">
        <v>99</v>
      </c>
      <c r="D136" s="730"/>
      <c r="E136" s="730"/>
      <c r="F136" s="730"/>
      <c r="G136" s="731"/>
      <c r="H136" s="729" t="s">
        <v>100</v>
      </c>
      <c r="I136" s="730"/>
      <c r="J136" s="730"/>
      <c r="K136" s="730"/>
      <c r="L136" s="731"/>
    </row>
    <row r="137" spans="1:13" x14ac:dyDescent="0.25">
      <c r="A137" s="724"/>
      <c r="B137" s="727"/>
      <c r="C137" s="753" t="s">
        <v>704</v>
      </c>
      <c r="D137" s="756"/>
      <c r="E137" s="756"/>
      <c r="F137" s="756"/>
      <c r="G137" s="754"/>
      <c r="H137" s="732" t="s">
        <v>706</v>
      </c>
      <c r="I137" s="733"/>
      <c r="J137" s="733"/>
      <c r="K137" s="733"/>
      <c r="L137" s="734"/>
    </row>
    <row r="138" spans="1:13" x14ac:dyDescent="0.25">
      <c r="A138" s="725"/>
      <c r="B138" s="728"/>
      <c r="C138" s="72" t="s">
        <v>114</v>
      </c>
      <c r="D138" s="550" t="s">
        <v>115</v>
      </c>
      <c r="E138" s="550" t="s">
        <v>116</v>
      </c>
      <c r="F138" s="550" t="s">
        <v>13</v>
      </c>
      <c r="G138" s="551" t="s">
        <v>117</v>
      </c>
      <c r="H138" s="72" t="s">
        <v>114</v>
      </c>
      <c r="I138" s="550" t="s">
        <v>115</v>
      </c>
      <c r="J138" s="550" t="s">
        <v>116</v>
      </c>
      <c r="K138" s="550" t="s">
        <v>13</v>
      </c>
      <c r="L138" s="551" t="s">
        <v>117</v>
      </c>
    </row>
    <row r="139" spans="1:13" x14ac:dyDescent="0.25">
      <c r="A139" s="75" t="s">
        <v>118</v>
      </c>
      <c r="B139" s="76">
        <v>2</v>
      </c>
      <c r="C139" s="77">
        <v>3</v>
      </c>
      <c r="D139" s="78">
        <v>4</v>
      </c>
      <c r="E139" s="78">
        <v>5</v>
      </c>
      <c r="F139" s="78">
        <v>6</v>
      </c>
      <c r="G139" s="76">
        <v>7</v>
      </c>
      <c r="H139" s="77">
        <v>8</v>
      </c>
      <c r="I139" s="78">
        <v>9</v>
      </c>
      <c r="J139" s="78">
        <v>10</v>
      </c>
      <c r="K139" s="78">
        <v>11</v>
      </c>
      <c r="L139" s="76">
        <v>12</v>
      </c>
    </row>
    <row r="140" spans="1:13" ht="31.5" x14ac:dyDescent="0.25">
      <c r="A140" s="79">
        <v>1</v>
      </c>
      <c r="B140" s="80" t="s">
        <v>708</v>
      </c>
      <c r="C140" s="81">
        <v>500.88</v>
      </c>
      <c r="D140" s="82">
        <v>1313.43</v>
      </c>
      <c r="E140" s="82">
        <v>1077.98</v>
      </c>
      <c r="F140" s="82">
        <v>155.65</v>
      </c>
      <c r="G140" s="83">
        <f>F140+E140+D140+C140</f>
        <v>3047.9400000000005</v>
      </c>
      <c r="H140" s="81">
        <f>C140</f>
        <v>500.88</v>
      </c>
      <c r="I140" s="82">
        <f t="shared" ref="I140:K140" si="2">D140</f>
        <v>1313.43</v>
      </c>
      <c r="J140" s="82">
        <f t="shared" si="2"/>
        <v>1077.98</v>
      </c>
      <c r="K140" s="82">
        <f t="shared" si="2"/>
        <v>155.65</v>
      </c>
      <c r="L140" s="83">
        <f>K140+J140+I140+H140</f>
        <v>3047.9400000000005</v>
      </c>
    </row>
    <row r="141" spans="1:13" x14ac:dyDescent="0.25">
      <c r="A141" s="90"/>
      <c r="B141" s="91" t="s">
        <v>122</v>
      </c>
      <c r="C141" s="92">
        <f>C140</f>
        <v>500.88</v>
      </c>
      <c r="D141" s="93">
        <f t="shared" ref="D141:L141" si="3">D140</f>
        <v>1313.43</v>
      </c>
      <c r="E141" s="93">
        <f t="shared" si="3"/>
        <v>1077.98</v>
      </c>
      <c r="F141" s="93">
        <f t="shared" si="3"/>
        <v>155.65</v>
      </c>
      <c r="G141" s="94">
        <f t="shared" si="3"/>
        <v>3047.9400000000005</v>
      </c>
      <c r="H141" s="92">
        <f t="shared" si="3"/>
        <v>500.88</v>
      </c>
      <c r="I141" s="93">
        <f t="shared" si="3"/>
        <v>1313.43</v>
      </c>
      <c r="J141" s="93">
        <f t="shared" si="3"/>
        <v>1077.98</v>
      </c>
      <c r="K141" s="93">
        <f t="shared" si="3"/>
        <v>155.65</v>
      </c>
      <c r="L141" s="94">
        <f t="shared" si="3"/>
        <v>3047.9400000000005</v>
      </c>
    </row>
    <row r="142" spans="1:13" x14ac:dyDescent="0.25">
      <c r="A142" s="95"/>
      <c r="B142" s="96"/>
      <c r="C142" s="97"/>
      <c r="D142" s="97"/>
      <c r="E142" s="97"/>
      <c r="F142" s="97"/>
      <c r="G142" s="97"/>
      <c r="H142" s="97"/>
      <c r="I142" s="97"/>
      <c r="J142" s="97"/>
      <c r="K142" s="97"/>
      <c r="L142" s="98"/>
    </row>
  </sheetData>
  <mergeCells count="66">
    <mergeCell ref="A115:L115"/>
    <mergeCell ref="I131:L131"/>
    <mergeCell ref="J132:K132"/>
    <mergeCell ref="A135:L135"/>
    <mergeCell ref="A136:A138"/>
    <mergeCell ref="B136:B138"/>
    <mergeCell ref="C136:G136"/>
    <mergeCell ref="H136:L136"/>
    <mergeCell ref="C137:G137"/>
    <mergeCell ref="H137:L137"/>
    <mergeCell ref="D127:H127"/>
    <mergeCell ref="I127:L127"/>
    <mergeCell ref="I128:L128"/>
    <mergeCell ref="I129:L129"/>
    <mergeCell ref="I130:L130"/>
    <mergeCell ref="B125:C125"/>
    <mergeCell ref="D125:H125"/>
    <mergeCell ref="I125:L125"/>
    <mergeCell ref="B126:C126"/>
    <mergeCell ref="D126:H126"/>
    <mergeCell ref="I126:L126"/>
    <mergeCell ref="B123:C123"/>
    <mergeCell ref="E123:I123"/>
    <mergeCell ref="B124:C124"/>
    <mergeCell ref="D124:H124"/>
    <mergeCell ref="I124:L124"/>
    <mergeCell ref="B120:C120"/>
    <mergeCell ref="B121:C121"/>
    <mergeCell ref="I121:L121"/>
    <mergeCell ref="B122:C122"/>
    <mergeCell ref="D122:H122"/>
    <mergeCell ref="I122:L122"/>
    <mergeCell ref="B117:L117"/>
    <mergeCell ref="B118:C119"/>
    <mergeCell ref="D118:H118"/>
    <mergeCell ref="I118:L118"/>
    <mergeCell ref="D119:H119"/>
    <mergeCell ref="I119:L119"/>
    <mergeCell ref="B13:H13"/>
    <mergeCell ref="B5:J5"/>
    <mergeCell ref="B6:J6"/>
    <mergeCell ref="B8:J8"/>
    <mergeCell ref="A10:J10"/>
    <mergeCell ref="B12:H12"/>
    <mergeCell ref="B63:I63"/>
    <mergeCell ref="B14:H14"/>
    <mergeCell ref="B15:H15"/>
    <mergeCell ref="A17:I17"/>
    <mergeCell ref="C19:I19"/>
    <mergeCell ref="C20:J20"/>
    <mergeCell ref="B111:D111"/>
    <mergeCell ref="A1:J1"/>
    <mergeCell ref="A3:J3"/>
    <mergeCell ref="H108:I108"/>
    <mergeCell ref="H109:I109"/>
    <mergeCell ref="H110:I110"/>
    <mergeCell ref="H111:I111"/>
    <mergeCell ref="B67:I67"/>
    <mergeCell ref="B72:I72"/>
    <mergeCell ref="A77:J77"/>
    <mergeCell ref="H106:I106"/>
    <mergeCell ref="B21:E21"/>
    <mergeCell ref="C24:I24"/>
    <mergeCell ref="C25:J25"/>
    <mergeCell ref="B26:E26"/>
    <mergeCell ref="A29:J29"/>
  </mergeCells>
  <pageMargins left="0.51181102362204722" right="0.51181102362204722" top="0.74803149606299213" bottom="0.74803149606299213" header="0.31496062992125984" footer="0.31496062992125984"/>
  <pageSetup paperSize="9" orientation="portrait" horizont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5" tint="0.39997558519241921"/>
    <pageSetUpPr fitToPage="1"/>
  </sheetPr>
  <dimension ref="A1:M33"/>
  <sheetViews>
    <sheetView showGridLines="0" view="pageBreakPreview" zoomScale="80" zoomScaleNormal="100" zoomScaleSheetLayoutView="8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1.8554687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2" x14ac:dyDescent="0.25">
      <c r="A2" s="50"/>
      <c r="B2" s="290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46" t="s">
        <v>456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2" s="53" customFormat="1" ht="21" customHeight="1" x14ac:dyDescent="0.25">
      <c r="A4" s="748" t="s">
        <v>460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2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2" x14ac:dyDescent="0.25">
      <c r="A7" s="55" t="s">
        <v>19</v>
      </c>
      <c r="B7" s="753"/>
      <c r="C7" s="754"/>
      <c r="D7" s="753" t="s">
        <v>457</v>
      </c>
      <c r="E7" s="756"/>
      <c r="F7" s="756"/>
      <c r="G7" s="756"/>
      <c r="H7" s="754"/>
      <c r="I7" s="753" t="s">
        <v>457</v>
      </c>
      <c r="J7" s="756"/>
      <c r="K7" s="756"/>
      <c r="L7" s="754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290"/>
      <c r="K8" s="290"/>
      <c r="L8" s="291"/>
    </row>
    <row r="9" spans="1:12" x14ac:dyDescent="0.25">
      <c r="A9" s="50" t="s">
        <v>102</v>
      </c>
      <c r="B9" s="721" t="s">
        <v>459</v>
      </c>
      <c r="C9" s="721"/>
      <c r="D9" s="774">
        <f>694+264</f>
        <v>958</v>
      </c>
      <c r="E9" s="774"/>
      <c r="F9" s="774"/>
      <c r="G9" s="774"/>
      <c r="H9" s="774"/>
      <c r="I9" s="774">
        <f>3250+400</f>
        <v>3650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169</v>
      </c>
      <c r="C10" s="721"/>
      <c r="D10" s="742">
        <f>D12+D13+D14+F15</f>
        <v>3349.49</v>
      </c>
      <c r="E10" s="742"/>
      <c r="F10" s="742"/>
      <c r="G10" s="742"/>
      <c r="H10" s="742"/>
      <c r="I10" s="742">
        <f>(I12+I13+I14+I15+I16+I17+I18+I19)</f>
        <v>13849.938362505218</v>
      </c>
      <c r="J10" s="742"/>
      <c r="K10" s="742"/>
      <c r="L10" s="743"/>
    </row>
    <row r="11" spans="1:12" x14ac:dyDescent="0.25">
      <c r="A11" s="65"/>
      <c r="B11" s="735" t="s">
        <v>106</v>
      </c>
      <c r="C11" s="735"/>
      <c r="D11" s="286"/>
      <c r="E11" s="736"/>
      <c r="F11" s="736"/>
      <c r="G11" s="736"/>
      <c r="H11" s="736"/>
      <c r="I11" s="736"/>
      <c r="J11" s="68"/>
      <c r="K11" s="68"/>
      <c r="L11" s="69"/>
    </row>
    <row r="12" spans="1:12" x14ac:dyDescent="0.25">
      <c r="A12" s="65"/>
      <c r="B12" s="735" t="s">
        <v>107</v>
      </c>
      <c r="C12" s="735"/>
      <c r="D12" s="736">
        <f>C30</f>
        <v>3349.49</v>
      </c>
      <c r="E12" s="736"/>
      <c r="F12" s="736"/>
      <c r="G12" s="736"/>
      <c r="H12" s="736"/>
      <c r="I12" s="736">
        <f>H30</f>
        <v>12761.626826722337</v>
      </c>
      <c r="J12" s="736"/>
      <c r="K12" s="736"/>
      <c r="L12" s="773"/>
    </row>
    <row r="13" spans="1:12" x14ac:dyDescent="0.25">
      <c r="A13" s="65"/>
      <c r="B13" s="735" t="s">
        <v>108</v>
      </c>
      <c r="C13" s="735"/>
      <c r="D13" s="736">
        <f>D30</f>
        <v>0</v>
      </c>
      <c r="E13" s="736"/>
      <c r="F13" s="736"/>
      <c r="G13" s="736"/>
      <c r="H13" s="736"/>
      <c r="I13" s="736">
        <f>I30</f>
        <v>0</v>
      </c>
      <c r="J13" s="736"/>
      <c r="K13" s="736"/>
      <c r="L13" s="773"/>
    </row>
    <row r="14" spans="1:12" x14ac:dyDescent="0.25">
      <c r="A14" s="65"/>
      <c r="B14" s="735" t="s">
        <v>109</v>
      </c>
      <c r="C14" s="735"/>
      <c r="D14" s="736">
        <f>E30</f>
        <v>0</v>
      </c>
      <c r="E14" s="736"/>
      <c r="F14" s="736"/>
      <c r="G14" s="736"/>
      <c r="H14" s="736"/>
      <c r="I14" s="736">
        <f>J30</f>
        <v>0</v>
      </c>
      <c r="J14" s="736"/>
      <c r="K14" s="736"/>
      <c r="L14" s="773"/>
    </row>
    <row r="15" spans="1:12" x14ac:dyDescent="0.25">
      <c r="A15" s="65"/>
      <c r="B15" s="288" t="s">
        <v>110</v>
      </c>
      <c r="C15" s="288"/>
      <c r="D15" s="736">
        <f>F30</f>
        <v>0</v>
      </c>
      <c r="E15" s="736"/>
      <c r="F15" s="736">
        <f>F31</f>
        <v>0</v>
      </c>
      <c r="G15" s="736"/>
      <c r="H15" s="736"/>
      <c r="I15" s="736">
        <f>K30</f>
        <v>0</v>
      </c>
      <c r="J15" s="736"/>
      <c r="K15" s="736"/>
      <c r="L15" s="773"/>
    </row>
    <row r="16" spans="1:12" x14ac:dyDescent="0.25">
      <c r="A16" s="65"/>
      <c r="B16" s="288" t="s">
        <v>85</v>
      </c>
      <c r="C16" s="288"/>
      <c r="D16" s="286"/>
      <c r="E16" s="286"/>
      <c r="F16" s="286"/>
      <c r="G16" s="286"/>
      <c r="H16" s="286"/>
      <c r="I16" s="736">
        <f>(I12+I13)*0.015</f>
        <v>191.42440240083505</v>
      </c>
      <c r="J16" s="736"/>
      <c r="K16" s="736"/>
      <c r="L16" s="773"/>
    </row>
    <row r="17" spans="1:13" x14ac:dyDescent="0.25">
      <c r="A17" s="65"/>
      <c r="B17" s="288" t="s">
        <v>39</v>
      </c>
      <c r="C17" s="288"/>
      <c r="D17" s="286"/>
      <c r="E17" s="286"/>
      <c r="F17" s="286"/>
      <c r="G17" s="286"/>
      <c r="H17" s="286"/>
      <c r="I17" s="736">
        <f>(I12+I13)*0.029</f>
        <v>370.08717797494779</v>
      </c>
      <c r="J17" s="736"/>
      <c r="K17" s="736"/>
      <c r="L17" s="773"/>
    </row>
    <row r="18" spans="1:13" x14ac:dyDescent="0.25">
      <c r="A18" s="65"/>
      <c r="B18" s="288" t="s">
        <v>40</v>
      </c>
      <c r="C18" s="288"/>
      <c r="D18" s="286"/>
      <c r="E18" s="286"/>
      <c r="F18" s="286"/>
      <c r="G18" s="286"/>
      <c r="H18" s="286"/>
      <c r="I18" s="736">
        <f>(I12+I13)*0.02</f>
        <v>255.23253653444675</v>
      </c>
      <c r="J18" s="736"/>
      <c r="K18" s="736"/>
      <c r="L18" s="773"/>
    </row>
    <row r="19" spans="1:13" x14ac:dyDescent="0.25">
      <c r="A19" s="65"/>
      <c r="B19" s="288" t="s">
        <v>163</v>
      </c>
      <c r="C19" s="288"/>
      <c r="D19" s="286"/>
      <c r="E19" s="286"/>
      <c r="F19" s="286"/>
      <c r="G19" s="286"/>
      <c r="H19" s="286"/>
      <c r="I19" s="736">
        <f>(I12+I15+I16+I17+I18+I13+I14)*0.02</f>
        <v>271.56741887265133</v>
      </c>
      <c r="J19" s="736"/>
      <c r="K19" s="736"/>
      <c r="L19" s="773"/>
    </row>
    <row r="20" spans="1:13" s="578" customFormat="1" x14ac:dyDescent="0.25">
      <c r="A20" s="576"/>
      <c r="B20" s="571" t="s">
        <v>731</v>
      </c>
      <c r="C20" s="571"/>
      <c r="D20" s="562"/>
      <c r="E20" s="562"/>
      <c r="F20" s="562"/>
      <c r="G20" s="562"/>
      <c r="H20" s="562"/>
      <c r="I20" s="562"/>
      <c r="J20" s="562"/>
      <c r="K20" s="562"/>
      <c r="L20" s="577"/>
    </row>
    <row r="21" spans="1:13" x14ac:dyDescent="0.25">
      <c r="A21" s="65"/>
      <c r="B21" s="208" t="s">
        <v>589</v>
      </c>
      <c r="C21" s="208"/>
      <c r="D21" s="132"/>
      <c r="E21" s="132"/>
      <c r="F21" s="132"/>
      <c r="G21" s="132"/>
      <c r="H21" s="132"/>
      <c r="I21" s="101">
        <f>I10*M21</f>
        <v>13926.113023498998</v>
      </c>
      <c r="J21" s="132"/>
      <c r="K21" s="132"/>
      <c r="L21" s="133"/>
      <c r="M21" s="49">
        <f>[16]МГЭ!$I$4</f>
        <v>1.0055000000000001</v>
      </c>
    </row>
    <row r="22" spans="1:13" x14ac:dyDescent="0.25">
      <c r="A22" s="65"/>
      <c r="B22" s="288"/>
      <c r="C22" s="288"/>
      <c r="D22" s="286"/>
      <c r="E22" s="286"/>
      <c r="F22" s="286"/>
      <c r="G22" s="286"/>
      <c r="H22" s="286"/>
      <c r="I22" s="286"/>
      <c r="J22" s="286"/>
      <c r="K22" s="286"/>
      <c r="L22" s="287"/>
    </row>
    <row r="23" spans="1:13" x14ac:dyDescent="0.25">
      <c r="A23" s="50"/>
      <c r="B23" s="52"/>
      <c r="C23" s="52"/>
      <c r="D23" s="52"/>
      <c r="E23" s="52"/>
      <c r="F23" s="52"/>
      <c r="G23" s="52"/>
      <c r="H23" s="52"/>
      <c r="I23" s="742"/>
      <c r="J23" s="742"/>
      <c r="K23" s="742"/>
      <c r="L23" s="743"/>
    </row>
    <row r="24" spans="1:13" x14ac:dyDescent="0.25">
      <c r="A24" s="720" t="s">
        <v>170</v>
      </c>
      <c r="B24" s="721"/>
      <c r="C24" s="721"/>
      <c r="D24" s="721"/>
      <c r="E24" s="721"/>
      <c r="F24" s="721"/>
      <c r="G24" s="721"/>
      <c r="H24" s="721"/>
      <c r="I24" s="721"/>
      <c r="J24" s="721"/>
      <c r="K24" s="721"/>
      <c r="L24" s="722"/>
    </row>
    <row r="25" spans="1:13" ht="13.5" customHeight="1" x14ac:dyDescent="0.25">
      <c r="A25" s="723" t="s">
        <v>112</v>
      </c>
      <c r="B25" s="726" t="s">
        <v>113</v>
      </c>
      <c r="C25" s="729" t="s">
        <v>99</v>
      </c>
      <c r="D25" s="730"/>
      <c r="E25" s="730"/>
      <c r="F25" s="730"/>
      <c r="G25" s="731"/>
      <c r="H25" s="729" t="s">
        <v>100</v>
      </c>
      <c r="I25" s="730"/>
      <c r="J25" s="730"/>
      <c r="K25" s="730"/>
      <c r="L25" s="731"/>
    </row>
    <row r="26" spans="1:13" x14ac:dyDescent="0.25">
      <c r="A26" s="724"/>
      <c r="B26" s="727"/>
      <c r="C26" s="732"/>
      <c r="D26" s="733"/>
      <c r="E26" s="733"/>
      <c r="F26" s="733"/>
      <c r="G26" s="734"/>
      <c r="H26" s="732"/>
      <c r="I26" s="733"/>
      <c r="J26" s="733"/>
      <c r="K26" s="733"/>
      <c r="L26" s="734"/>
    </row>
    <row r="27" spans="1:13" x14ac:dyDescent="0.25">
      <c r="A27" s="725"/>
      <c r="B27" s="728"/>
      <c r="C27" s="72" t="s">
        <v>114</v>
      </c>
      <c r="D27" s="284" t="s">
        <v>115</v>
      </c>
      <c r="E27" s="284" t="s">
        <v>116</v>
      </c>
      <c r="F27" s="284" t="s">
        <v>13</v>
      </c>
      <c r="G27" s="285" t="s">
        <v>117</v>
      </c>
      <c r="H27" s="72" t="s">
        <v>114</v>
      </c>
      <c r="I27" s="284" t="s">
        <v>115</v>
      </c>
      <c r="J27" s="284" t="s">
        <v>116</v>
      </c>
      <c r="K27" s="284" t="s">
        <v>13</v>
      </c>
      <c r="L27" s="285" t="s">
        <v>117</v>
      </c>
    </row>
    <row r="28" spans="1:13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3" s="84" customFormat="1" ht="47.25" x14ac:dyDescent="0.25">
      <c r="A29" s="114">
        <v>1</v>
      </c>
      <c r="B29" s="115" t="s">
        <v>458</v>
      </c>
      <c r="C29" s="116">
        <v>3349.49</v>
      </c>
      <c r="D29" s="117">
        <v>0</v>
      </c>
      <c r="E29" s="117">
        <v>0</v>
      </c>
      <c r="F29" s="117">
        <v>0</v>
      </c>
      <c r="G29" s="118">
        <f>F29+E29+D29+C29</f>
        <v>3349.49</v>
      </c>
      <c r="H29" s="116">
        <f>C29/D9*I9</f>
        <v>12761.626826722337</v>
      </c>
      <c r="I29" s="117">
        <f t="shared" ref="I29:K29" si="0">D29</f>
        <v>0</v>
      </c>
      <c r="J29" s="117">
        <f t="shared" si="0"/>
        <v>0</v>
      </c>
      <c r="K29" s="117">
        <f t="shared" si="0"/>
        <v>0</v>
      </c>
      <c r="L29" s="118">
        <f>K29+J29+I29+H29</f>
        <v>12761.626826722337</v>
      </c>
    </row>
    <row r="30" spans="1:13" s="121" customFormat="1" x14ac:dyDescent="0.25">
      <c r="A30" s="122"/>
      <c r="B30" s="123" t="s">
        <v>452</v>
      </c>
      <c r="C30" s="124">
        <f>C29</f>
        <v>3349.49</v>
      </c>
      <c r="D30" s="125">
        <f t="shared" ref="D30:L30" si="1">D29</f>
        <v>0</v>
      </c>
      <c r="E30" s="125">
        <f t="shared" si="1"/>
        <v>0</v>
      </c>
      <c r="F30" s="125">
        <f t="shared" si="1"/>
        <v>0</v>
      </c>
      <c r="G30" s="126">
        <f t="shared" si="1"/>
        <v>3349.49</v>
      </c>
      <c r="H30" s="124">
        <f t="shared" si="1"/>
        <v>12761.626826722337</v>
      </c>
      <c r="I30" s="125">
        <f t="shared" si="1"/>
        <v>0</v>
      </c>
      <c r="J30" s="125">
        <f t="shared" si="1"/>
        <v>0</v>
      </c>
      <c r="K30" s="125">
        <f t="shared" si="1"/>
        <v>0</v>
      </c>
      <c r="L30" s="126">
        <f t="shared" si="1"/>
        <v>12761.626826722337</v>
      </c>
    </row>
    <row r="31" spans="1:13" s="53" customFormat="1" ht="21.75" customHeight="1" x14ac:dyDescent="0.25">
      <c r="A31" s="90"/>
      <c r="B31" s="91" t="s">
        <v>122</v>
      </c>
      <c r="C31" s="92"/>
      <c r="D31" s="93"/>
      <c r="E31" s="93"/>
      <c r="F31" s="93"/>
      <c r="G31" s="94"/>
      <c r="H31" s="92"/>
      <c r="I31" s="93"/>
      <c r="J31" s="93"/>
      <c r="K31" s="93"/>
      <c r="L31" s="94"/>
    </row>
    <row r="32" spans="1:13" s="53" customFormat="1" x14ac:dyDescent="0.25">
      <c r="A32" s="127"/>
      <c r="B32" s="128"/>
      <c r="C32" s="129"/>
      <c r="D32" s="130"/>
      <c r="E32" s="130"/>
      <c r="F32" s="130"/>
      <c r="G32" s="131"/>
      <c r="H32" s="129"/>
      <c r="I32" s="130"/>
      <c r="J32" s="130"/>
      <c r="K32" s="130"/>
      <c r="L32" s="131"/>
    </row>
    <row r="33" spans="1:12" x14ac:dyDescent="0.25">
      <c r="A33" s="95"/>
      <c r="B33" s="96"/>
      <c r="C33" s="97"/>
      <c r="D33" s="97"/>
      <c r="E33" s="97"/>
      <c r="F33" s="97"/>
      <c r="G33" s="97"/>
      <c r="H33" s="97"/>
      <c r="I33" s="97"/>
      <c r="J33" s="97"/>
      <c r="K33" s="97"/>
      <c r="L33" s="98"/>
    </row>
  </sheetData>
  <mergeCells count="40">
    <mergeCell ref="A1:L1"/>
    <mergeCell ref="A3:L3"/>
    <mergeCell ref="A4:L4"/>
    <mergeCell ref="B6:C7"/>
    <mergeCell ref="D6:H6"/>
    <mergeCell ref="I6:L6"/>
    <mergeCell ref="D7:H7"/>
    <mergeCell ref="I7:L7"/>
    <mergeCell ref="B12:C12"/>
    <mergeCell ref="D12:H12"/>
    <mergeCell ref="I12:L12"/>
    <mergeCell ref="B8:C8"/>
    <mergeCell ref="B9:C9"/>
    <mergeCell ref="D9:H9"/>
    <mergeCell ref="I9:L9"/>
    <mergeCell ref="B10:C10"/>
    <mergeCell ref="D10:H10"/>
    <mergeCell ref="I10:L10"/>
    <mergeCell ref="B11:C11"/>
    <mergeCell ref="E11:I11"/>
    <mergeCell ref="I19:L19"/>
    <mergeCell ref="B13:C13"/>
    <mergeCell ref="D13:H13"/>
    <mergeCell ref="I13:L13"/>
    <mergeCell ref="B14:C14"/>
    <mergeCell ref="D14:H14"/>
    <mergeCell ref="I14:L14"/>
    <mergeCell ref="D15:H15"/>
    <mergeCell ref="I15:L15"/>
    <mergeCell ref="I16:L16"/>
    <mergeCell ref="I17:L17"/>
    <mergeCell ref="I18:L18"/>
    <mergeCell ref="I23:L23"/>
    <mergeCell ref="A24:L24"/>
    <mergeCell ref="A25:A27"/>
    <mergeCell ref="B25:B27"/>
    <mergeCell ref="C25:G25"/>
    <mergeCell ref="H25:L25"/>
    <mergeCell ref="C26:G26"/>
    <mergeCell ref="H26:L26"/>
  </mergeCells>
  <pageMargins left="0.39370078740157483" right="0.39370078740157483" top="0.59055118110236227" bottom="0.39370078740157483" header="0" footer="0"/>
  <pageSetup paperSize="9" scale="78" fitToHeight="100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FF00"/>
  </sheetPr>
  <dimension ref="A1:L106"/>
  <sheetViews>
    <sheetView view="pageBreakPreview" topLeftCell="A7" zoomScaleNormal="80" zoomScaleSheetLayoutView="100" workbookViewId="0">
      <selection activeCell="J19" sqref="J19"/>
    </sheetView>
  </sheetViews>
  <sheetFormatPr defaultColWidth="9.140625" defaultRowHeight="15.75" x14ac:dyDescent="0.25"/>
  <cols>
    <col min="1" max="1" width="4" style="10" customWidth="1"/>
    <col min="2" max="3" width="13.42578125" style="10" customWidth="1"/>
    <col min="4" max="4" width="13.140625" style="10" customWidth="1"/>
    <col min="5" max="5" width="12" style="10" customWidth="1"/>
    <col min="6" max="6" width="13" style="10" customWidth="1"/>
    <col min="7" max="7" width="14.7109375" style="10" customWidth="1"/>
    <col min="8" max="8" width="7.5703125" style="10" customWidth="1"/>
    <col min="9" max="9" width="14" style="10" customWidth="1"/>
    <col min="10" max="10" width="13.42578125" style="10" customWidth="1"/>
    <col min="11" max="16384" width="9.140625" style="10"/>
  </cols>
  <sheetData>
    <row r="1" spans="1:10" s="49" customFormat="1" ht="85.5" customHeight="1" x14ac:dyDescent="0.25">
      <c r="A1" s="784"/>
      <c r="B1" s="784"/>
      <c r="C1" s="784"/>
      <c r="D1" s="784"/>
      <c r="E1" s="784"/>
      <c r="F1" s="784"/>
      <c r="G1" s="784"/>
      <c r="H1" s="784"/>
      <c r="I1" s="784"/>
      <c r="J1" s="784"/>
    </row>
    <row r="2" spans="1:10" s="49" customFormat="1" x14ac:dyDescent="0.25">
      <c r="A2" s="50"/>
      <c r="B2" s="236"/>
      <c r="C2" s="52"/>
      <c r="D2" s="52"/>
      <c r="E2" s="52"/>
      <c r="F2" s="52"/>
      <c r="G2" s="52"/>
      <c r="H2" s="52"/>
      <c r="I2" s="52"/>
      <c r="J2" s="52"/>
    </row>
    <row r="3" spans="1:10" s="53" customFormat="1" x14ac:dyDescent="0.25">
      <c r="A3" s="746" t="s">
        <v>590</v>
      </c>
      <c r="B3" s="747"/>
      <c r="C3" s="747"/>
      <c r="D3" s="747"/>
      <c r="E3" s="747"/>
      <c r="F3" s="747"/>
      <c r="G3" s="747"/>
      <c r="H3" s="747"/>
      <c r="I3" s="747"/>
      <c r="J3" s="747"/>
    </row>
    <row r="6" spans="1:10" ht="18.75" x14ac:dyDescent="0.3">
      <c r="B6" s="780" t="s">
        <v>447</v>
      </c>
      <c r="C6" s="780"/>
      <c r="D6" s="780"/>
      <c r="E6" s="780"/>
      <c r="F6" s="780"/>
      <c r="G6" s="780"/>
      <c r="H6" s="780"/>
      <c r="I6" s="780"/>
      <c r="J6" s="780"/>
    </row>
    <row r="7" spans="1:10" x14ac:dyDescent="0.25">
      <c r="B7" s="781" t="s">
        <v>48</v>
      </c>
      <c r="C7" s="781"/>
      <c r="D7" s="781"/>
      <c r="E7" s="781"/>
      <c r="F7" s="781"/>
      <c r="G7" s="781"/>
      <c r="H7" s="781"/>
      <c r="I7" s="781"/>
      <c r="J7" s="781"/>
    </row>
    <row r="9" spans="1:10" ht="108" customHeight="1" x14ac:dyDescent="0.25">
      <c r="B9" s="779" t="s">
        <v>49</v>
      </c>
      <c r="C9" s="779"/>
      <c r="D9" s="779"/>
      <c r="E9" s="779"/>
      <c r="F9" s="779"/>
      <c r="G9" s="779"/>
      <c r="H9" s="779"/>
      <c r="I9" s="779"/>
      <c r="J9" s="779"/>
    </row>
    <row r="11" spans="1:10" hidden="1" x14ac:dyDescent="0.25">
      <c r="A11" s="778" t="s">
        <v>50</v>
      </c>
      <c r="B11" s="778"/>
      <c r="C11" s="778"/>
      <c r="D11" s="778"/>
      <c r="E11" s="778"/>
      <c r="F11" s="778"/>
      <c r="G11" s="778"/>
      <c r="H11" s="778"/>
      <c r="I11" s="778"/>
      <c r="J11" s="778"/>
    </row>
    <row r="12" spans="1:10" hidden="1" x14ac:dyDescent="0.25">
      <c r="B12" s="11"/>
      <c r="I12" s="15" t="s">
        <v>18</v>
      </c>
      <c r="J12" s="15"/>
    </row>
    <row r="13" spans="1:10" s="15" customFormat="1" ht="27" hidden="1" customHeight="1" x14ac:dyDescent="0.25">
      <c r="A13" s="248" t="s">
        <v>20</v>
      </c>
      <c r="B13" s="848" t="s">
        <v>448</v>
      </c>
      <c r="C13" s="849"/>
      <c r="D13" s="849"/>
      <c r="E13" s="849"/>
      <c r="F13" s="849"/>
      <c r="G13" s="849"/>
      <c r="H13" s="849"/>
      <c r="I13" s="249">
        <v>6</v>
      </c>
      <c r="J13" s="249"/>
    </row>
    <row r="14" spans="1:10" s="15" customFormat="1" ht="18.75" hidden="1" customHeight="1" x14ac:dyDescent="0.25">
      <c r="A14" s="248" t="s">
        <v>21</v>
      </c>
      <c r="B14" s="848" t="s">
        <v>449</v>
      </c>
      <c r="C14" s="849"/>
      <c r="D14" s="849"/>
      <c r="E14" s="849"/>
      <c r="F14" s="849"/>
      <c r="G14" s="849"/>
      <c r="H14" s="849"/>
      <c r="I14" s="249">
        <v>2</v>
      </c>
      <c r="J14" s="249"/>
    </row>
    <row r="15" spans="1:10" s="250" customFormat="1" ht="20.25" hidden="1" customHeight="1" x14ac:dyDescent="0.25">
      <c r="A15" s="248" t="s">
        <v>63</v>
      </c>
      <c r="B15" s="848" t="s">
        <v>450</v>
      </c>
      <c r="C15" s="849"/>
      <c r="D15" s="849"/>
      <c r="E15" s="849"/>
      <c r="F15" s="849"/>
      <c r="G15" s="849"/>
      <c r="H15" s="849"/>
      <c r="I15" s="249">
        <v>30</v>
      </c>
      <c r="J15" s="249"/>
    </row>
    <row r="17" spans="1:10" ht="36" customHeight="1" x14ac:dyDescent="0.25">
      <c r="A17" s="782" t="s">
        <v>52</v>
      </c>
      <c r="B17" s="782"/>
      <c r="C17" s="782"/>
      <c r="D17" s="782"/>
      <c r="E17" s="782"/>
      <c r="F17" s="782"/>
      <c r="G17" s="782"/>
      <c r="H17" s="782"/>
      <c r="I17" s="782"/>
      <c r="J17" s="19"/>
    </row>
    <row r="18" spans="1:10" ht="15.75" customHeight="1" x14ac:dyDescent="0.25">
      <c r="A18" s="230"/>
      <c r="B18" s="230"/>
      <c r="C18" s="230"/>
      <c r="D18" s="230"/>
      <c r="E18" s="230"/>
      <c r="F18" s="230"/>
      <c r="G18" s="230"/>
      <c r="H18" s="230"/>
      <c r="I18" s="230"/>
      <c r="J18" s="19"/>
    </row>
    <row r="19" spans="1:10" s="14" customFormat="1" ht="83.25" customHeight="1" x14ac:dyDescent="0.25">
      <c r="B19" s="20" t="s">
        <v>53</v>
      </c>
      <c r="C19" s="779" t="s">
        <v>823</v>
      </c>
      <c r="D19" s="779"/>
      <c r="E19" s="779"/>
      <c r="F19" s="779"/>
      <c r="G19" s="779"/>
      <c r="H19" s="779"/>
      <c r="I19" s="779"/>
      <c r="J19" s="20"/>
    </row>
    <row r="20" spans="1:10" s="14" customFormat="1" ht="18" customHeight="1" x14ac:dyDescent="0.25">
      <c r="B20" s="20"/>
      <c r="C20" s="785"/>
      <c r="D20" s="785"/>
      <c r="E20" s="785"/>
      <c r="F20" s="785"/>
      <c r="G20" s="785"/>
      <c r="H20" s="785"/>
      <c r="I20" s="785"/>
      <c r="J20" s="785"/>
    </row>
    <row r="21" spans="1:10" s="14" customFormat="1" ht="15.75" customHeight="1" x14ac:dyDescent="0.25">
      <c r="B21" s="785" t="s">
        <v>55</v>
      </c>
      <c r="C21" s="785"/>
      <c r="D21" s="785"/>
      <c r="E21" s="785"/>
      <c r="F21" s="21" t="s">
        <v>789</v>
      </c>
      <c r="G21" s="21"/>
      <c r="H21" s="21"/>
      <c r="I21" s="21"/>
      <c r="J21" s="21"/>
    </row>
    <row r="22" spans="1:10" s="14" customFormat="1" ht="25.5" x14ac:dyDescent="0.25">
      <c r="B22" s="20"/>
      <c r="C22" s="14" t="s">
        <v>800</v>
      </c>
      <c r="E22" s="20"/>
      <c r="F22" s="20" t="s">
        <v>801</v>
      </c>
      <c r="H22" s="20"/>
      <c r="I22" s="20"/>
      <c r="J22" s="20"/>
    </row>
    <row r="23" spans="1:10" s="14" customFormat="1" ht="18" customHeight="1" x14ac:dyDescent="0.25">
      <c r="B23" s="20"/>
      <c r="E23" s="20"/>
      <c r="F23" s="20"/>
      <c r="H23" s="20"/>
      <c r="I23" s="20"/>
      <c r="J23" s="20"/>
    </row>
    <row r="25" spans="1:10" x14ac:dyDescent="0.25">
      <c r="A25" s="778" t="s">
        <v>58</v>
      </c>
      <c r="B25" s="778"/>
      <c r="C25" s="778"/>
      <c r="D25" s="778"/>
      <c r="E25" s="778"/>
      <c r="F25" s="778"/>
      <c r="G25" s="778"/>
      <c r="H25" s="778"/>
      <c r="I25" s="778"/>
      <c r="J25" s="778"/>
    </row>
    <row r="27" spans="1:10" s="23" customFormat="1" ht="12.75" x14ac:dyDescent="0.2">
      <c r="A27" s="22" t="s">
        <v>20</v>
      </c>
      <c r="B27" s="23" t="s">
        <v>59</v>
      </c>
      <c r="E27" s="24"/>
      <c r="F27" s="24"/>
      <c r="G27" s="24">
        <v>4.1000000000000002E-2</v>
      </c>
      <c r="H27" s="23" t="s">
        <v>802</v>
      </c>
    </row>
    <row r="28" spans="1:10" s="23" customFormat="1" ht="12.75" x14ac:dyDescent="0.2">
      <c r="A28" s="22" t="s">
        <v>21</v>
      </c>
      <c r="B28" s="23" t="s">
        <v>803</v>
      </c>
      <c r="F28" s="24"/>
      <c r="G28" s="24">
        <v>2.7E-2</v>
      </c>
      <c r="H28" s="23" t="s">
        <v>802</v>
      </c>
    </row>
    <row r="29" spans="1:10" s="23" customFormat="1" ht="12.75" x14ac:dyDescent="0.2">
      <c r="A29" s="22" t="s">
        <v>63</v>
      </c>
      <c r="F29" s="25"/>
      <c r="G29" s="25"/>
    </row>
    <row r="30" spans="1:10" s="23" customFormat="1" ht="12.75" x14ac:dyDescent="0.2">
      <c r="A30" s="22" t="s">
        <v>66</v>
      </c>
      <c r="G30" s="25"/>
    </row>
    <row r="31" spans="1:10" s="575" customFormat="1" ht="12.75" x14ac:dyDescent="0.2">
      <c r="A31" s="580" t="s">
        <v>69</v>
      </c>
      <c r="B31" s="575" t="s">
        <v>791</v>
      </c>
      <c r="G31" s="581">
        <v>1.1152</v>
      </c>
      <c r="H31" s="575" t="s">
        <v>71</v>
      </c>
    </row>
    <row r="33" spans="1:12" x14ac:dyDescent="0.25">
      <c r="B33" s="27" t="s">
        <v>72</v>
      </c>
    </row>
    <row r="34" spans="1:12" ht="13.5" customHeight="1" x14ac:dyDescent="0.25">
      <c r="J34" s="251"/>
    </row>
    <row r="35" spans="1:12" s="30" customFormat="1" ht="12.75" x14ac:dyDescent="0.2">
      <c r="B35" s="28"/>
      <c r="C35" s="28" t="s">
        <v>73</v>
      </c>
      <c r="D35" s="28"/>
      <c r="E35" s="28"/>
      <c r="F35" s="28"/>
      <c r="G35" s="28" t="s">
        <v>392</v>
      </c>
      <c r="H35" s="28" t="s">
        <v>393</v>
      </c>
      <c r="I35" s="28" t="s">
        <v>394</v>
      </c>
      <c r="J35" s="28" t="s">
        <v>395</v>
      </c>
    </row>
    <row r="36" spans="1:12" s="23" customFormat="1" ht="12.75" x14ac:dyDescent="0.2">
      <c r="B36" s="31" t="s">
        <v>804</v>
      </c>
      <c r="C36" s="31"/>
      <c r="D36" s="31"/>
      <c r="E36" s="31"/>
      <c r="F36" s="673" t="s">
        <v>825</v>
      </c>
      <c r="G36" s="253" t="s">
        <v>805</v>
      </c>
      <c r="H36" s="254" t="s">
        <v>2</v>
      </c>
      <c r="I36" s="254">
        <v>86</v>
      </c>
      <c r="J36" s="255">
        <v>206377.82</v>
      </c>
      <c r="K36" s="39"/>
    </row>
    <row r="37" spans="1:12" s="23" customFormat="1" ht="12.75" x14ac:dyDescent="0.2">
      <c r="B37" s="31" t="s">
        <v>806</v>
      </c>
      <c r="C37" s="31"/>
      <c r="D37" s="31"/>
      <c r="E37" s="31"/>
      <c r="F37" s="673" t="s">
        <v>825</v>
      </c>
      <c r="G37" s="253" t="s">
        <v>807</v>
      </c>
      <c r="H37" s="254" t="s">
        <v>0</v>
      </c>
      <c r="I37" s="254">
        <f>1.642+0.284+4.111+1.869+0.05+0.052+0.46+0.2+0.00128</f>
        <v>8.6692799999999988</v>
      </c>
      <c r="J37" s="255">
        <v>155182.93</v>
      </c>
      <c r="K37" s="39"/>
    </row>
    <row r="38" spans="1:12" s="23" customFormat="1" ht="12.75" x14ac:dyDescent="0.2">
      <c r="B38" s="31" t="s">
        <v>808</v>
      </c>
      <c r="C38" s="31"/>
      <c r="D38" s="31"/>
      <c r="E38" s="31"/>
      <c r="F38" s="673" t="s">
        <v>825</v>
      </c>
      <c r="G38" s="253" t="s">
        <v>809</v>
      </c>
      <c r="H38" s="254" t="s">
        <v>2</v>
      </c>
      <c r="I38" s="254">
        <f>0.05+3+1+2+1+1+1</f>
        <v>9.0500000000000007</v>
      </c>
      <c r="J38" s="255">
        <v>81050.740000000005</v>
      </c>
      <c r="K38" s="39"/>
    </row>
    <row r="39" spans="1:12" s="23" customFormat="1" ht="12.75" x14ac:dyDescent="0.2">
      <c r="B39" s="31"/>
      <c r="C39" s="31"/>
      <c r="D39" s="31"/>
      <c r="E39" s="31"/>
      <c r="F39" s="31"/>
      <c r="G39" s="253"/>
      <c r="H39" s="254"/>
      <c r="I39" s="254"/>
      <c r="J39" s="255"/>
      <c r="K39" s="39"/>
    </row>
    <row r="40" spans="1:12" s="23" customFormat="1" ht="12.75" x14ac:dyDescent="0.2">
      <c r="B40" s="31"/>
      <c r="C40" s="31"/>
      <c r="D40" s="31"/>
      <c r="E40" s="31"/>
      <c r="F40" s="31"/>
      <c r="G40" s="253"/>
      <c r="H40" s="254"/>
      <c r="I40" s="254"/>
      <c r="J40" s="255"/>
      <c r="K40" s="39"/>
    </row>
    <row r="41" spans="1:12" s="23" customFormat="1" ht="12.75" x14ac:dyDescent="0.2">
      <c r="B41" s="31"/>
      <c r="C41" s="31"/>
      <c r="D41" s="31"/>
      <c r="E41" s="31"/>
      <c r="F41" s="31"/>
      <c r="G41" s="253"/>
      <c r="H41" s="254"/>
      <c r="I41" s="254"/>
      <c r="J41" s="255"/>
      <c r="K41" s="39"/>
    </row>
    <row r="42" spans="1:12" s="23" customFormat="1" ht="12.75" x14ac:dyDescent="0.2">
      <c r="B42" s="31"/>
      <c r="C42" s="31"/>
      <c r="D42" s="31"/>
      <c r="E42" s="31"/>
      <c r="F42" s="31"/>
      <c r="G42" s="253"/>
      <c r="H42" s="254"/>
      <c r="I42" s="254"/>
      <c r="J42" s="255"/>
      <c r="K42" s="39"/>
    </row>
    <row r="43" spans="1:12" s="23" customFormat="1" ht="12.75" x14ac:dyDescent="0.2">
      <c r="B43" s="31"/>
      <c r="C43" s="31"/>
      <c r="D43" s="31"/>
      <c r="E43" s="31"/>
      <c r="F43" s="31"/>
      <c r="G43" s="253"/>
      <c r="H43" s="254"/>
      <c r="I43" s="254"/>
      <c r="J43" s="255"/>
      <c r="K43" s="39"/>
    </row>
    <row r="44" spans="1:12" s="23" customFormat="1" ht="12.75" x14ac:dyDescent="0.2">
      <c r="B44" s="31"/>
      <c r="C44" s="31"/>
      <c r="D44" s="31"/>
      <c r="E44" s="31"/>
      <c r="F44" s="31"/>
      <c r="G44" s="253"/>
      <c r="H44" s="254"/>
      <c r="I44" s="254"/>
      <c r="J44" s="255"/>
      <c r="K44" s="39"/>
    </row>
    <row r="45" spans="1:12" s="23" customFormat="1" ht="12.75" x14ac:dyDescent="0.2">
      <c r="B45" s="31"/>
      <c r="C45" s="31"/>
      <c r="D45" s="31"/>
      <c r="E45" s="31"/>
      <c r="F45" s="31"/>
      <c r="G45" s="253"/>
      <c r="H45" s="254"/>
      <c r="I45" s="254"/>
      <c r="J45" s="255"/>
      <c r="K45" s="39"/>
    </row>
    <row r="46" spans="1:12" s="12" customFormat="1" ht="24" customHeight="1" x14ac:dyDescent="0.25">
      <c r="A46" s="229"/>
      <c r="B46" s="229"/>
      <c r="C46" s="229"/>
      <c r="D46" s="229"/>
      <c r="I46" s="36"/>
    </row>
    <row r="47" spans="1:12" s="30" customFormat="1" ht="12.75" x14ac:dyDescent="0.2">
      <c r="B47" s="30" t="s">
        <v>430</v>
      </c>
      <c r="L47" s="23"/>
    </row>
    <row r="48" spans="1:12" s="262" customFormat="1" ht="25.5" customHeight="1" x14ac:dyDescent="0.2">
      <c r="A48" s="261" t="s">
        <v>20</v>
      </c>
      <c r="B48" s="31" t="s">
        <v>804</v>
      </c>
      <c r="C48" s="264"/>
      <c r="D48" s="264"/>
      <c r="E48" s="264"/>
      <c r="F48" s="264"/>
      <c r="G48" s="264"/>
      <c r="H48" s="264"/>
      <c r="I48" s="264"/>
    </row>
    <row r="49" spans="1:10" s="14" customFormat="1" ht="15" customHeight="1" x14ac:dyDescent="0.25">
      <c r="C49" s="14">
        <v>86</v>
      </c>
      <c r="D49" s="12" t="s">
        <v>435</v>
      </c>
      <c r="J49" s="263"/>
    </row>
    <row r="50" spans="1:10" s="14" customFormat="1" ht="15" customHeight="1" x14ac:dyDescent="0.25">
      <c r="B50" s="14" t="s">
        <v>29</v>
      </c>
      <c r="C50" s="263">
        <f>J36</f>
        <v>206377.82</v>
      </c>
      <c r="D50" s="263">
        <f>ROUND(C50/86,2)</f>
        <v>2399.7399999999998</v>
      </c>
      <c r="J50" s="263"/>
    </row>
    <row r="51" spans="1:10" s="264" customFormat="1" ht="15" customHeight="1" x14ac:dyDescent="0.2">
      <c r="A51" s="261" t="s">
        <v>21</v>
      </c>
      <c r="B51" s="31" t="s">
        <v>806</v>
      </c>
      <c r="C51" s="264">
        <v>8.6692800000000005</v>
      </c>
    </row>
    <row r="52" spans="1:10" s="14" customFormat="1" ht="15" customHeight="1" x14ac:dyDescent="0.25">
      <c r="B52" s="263"/>
      <c r="C52" s="263">
        <f>J37</f>
        <v>155182.93</v>
      </c>
      <c r="D52" s="263" t="s">
        <v>435</v>
      </c>
      <c r="E52" s="263"/>
      <c r="F52" s="263"/>
      <c r="G52" s="263"/>
      <c r="H52" s="263"/>
      <c r="I52" s="263"/>
      <c r="J52" s="263"/>
    </row>
    <row r="53" spans="1:10" s="14" customFormat="1" ht="15" customHeight="1" x14ac:dyDescent="0.25">
      <c r="B53" s="263" t="s">
        <v>29</v>
      </c>
      <c r="C53" s="263"/>
      <c r="D53" s="263">
        <f>ROUND(C52/8.66928,2)</f>
        <v>17900.330000000002</v>
      </c>
      <c r="E53" s="263"/>
      <c r="F53" s="263"/>
      <c r="G53" s="263"/>
      <c r="H53" s="263"/>
      <c r="I53" s="263"/>
    </row>
    <row r="54" spans="1:10" s="264" customFormat="1" ht="15" customHeight="1" x14ac:dyDescent="0.2">
      <c r="A54" s="261" t="s">
        <v>63</v>
      </c>
      <c r="B54" s="31" t="s">
        <v>808</v>
      </c>
      <c r="C54" s="263"/>
      <c r="D54" s="263"/>
      <c r="E54" s="263"/>
      <c r="F54" s="263"/>
      <c r="G54" s="263"/>
      <c r="H54" s="263"/>
      <c r="I54" s="263"/>
    </row>
    <row r="55" spans="1:10" s="14" customFormat="1" ht="15" customHeight="1" x14ac:dyDescent="0.25">
      <c r="B55" s="263"/>
      <c r="C55" s="263">
        <v>9.0500000000000007</v>
      </c>
      <c r="D55" s="263" t="s">
        <v>435</v>
      </c>
      <c r="E55" s="263"/>
      <c r="F55" s="263"/>
      <c r="G55" s="263"/>
      <c r="H55" s="263"/>
      <c r="I55" s="263"/>
    </row>
    <row r="56" spans="1:10" s="14" customFormat="1" ht="15" customHeight="1" x14ac:dyDescent="0.25">
      <c r="B56" s="263"/>
      <c r="C56" s="263">
        <f>J38</f>
        <v>81050.740000000005</v>
      </c>
      <c r="D56" s="263">
        <f>ROUND(C56/9.05,2)</f>
        <v>8955.8799999999992</v>
      </c>
      <c r="E56" s="263"/>
      <c r="F56" s="263"/>
      <c r="G56" s="263"/>
      <c r="H56" s="263"/>
      <c r="I56" s="263"/>
    </row>
    <row r="57" spans="1:10" s="14" customFormat="1" ht="15" customHeight="1" x14ac:dyDescent="0.25">
      <c r="B57" s="263"/>
      <c r="C57" s="263"/>
      <c r="D57" s="263"/>
      <c r="E57" s="263"/>
      <c r="F57" s="263"/>
      <c r="G57" s="263"/>
      <c r="H57" s="263"/>
      <c r="I57" s="263"/>
    </row>
    <row r="58" spans="1:10" s="262" customFormat="1" ht="15.75" customHeight="1" x14ac:dyDescent="0.2">
      <c r="A58" s="261" t="s">
        <v>66</v>
      </c>
      <c r="B58" s="263"/>
      <c r="C58" s="263"/>
      <c r="D58" s="263"/>
      <c r="E58" s="263"/>
      <c r="F58" s="263"/>
      <c r="G58" s="263"/>
      <c r="H58" s="263"/>
      <c r="I58" s="263"/>
    </row>
    <row r="59" spans="1:10" s="14" customFormat="1" ht="15" customHeight="1" x14ac:dyDescent="0.25">
      <c r="C59" s="12"/>
      <c r="D59" s="12"/>
    </row>
    <row r="60" spans="1:10" s="14" customFormat="1" ht="15" customHeight="1" x14ac:dyDescent="0.25">
      <c r="C60" s="263"/>
      <c r="D60" s="263"/>
    </row>
    <row r="61" spans="1:10" s="14" customFormat="1" ht="15" customHeight="1" x14ac:dyDescent="0.25">
      <c r="C61" s="263"/>
      <c r="D61" s="263"/>
    </row>
    <row r="62" spans="1:10" s="262" customFormat="1" ht="15.75" customHeight="1" x14ac:dyDescent="0.2">
      <c r="A62" s="261">
        <v>5</v>
      </c>
      <c r="B62" s="263"/>
      <c r="C62" s="263"/>
      <c r="D62" s="263"/>
      <c r="E62" s="263"/>
      <c r="F62" s="263"/>
      <c r="G62" s="263"/>
      <c r="H62" s="263"/>
      <c r="I62" s="263"/>
    </row>
    <row r="63" spans="1:10" s="14" customFormat="1" ht="15" customHeight="1" x14ac:dyDescent="0.25">
      <c r="C63" s="12"/>
      <c r="D63" s="12"/>
    </row>
    <row r="64" spans="1:10" s="14" customFormat="1" ht="15" customHeight="1" x14ac:dyDescent="0.25">
      <c r="C64" s="263"/>
      <c r="D64" s="263"/>
    </row>
    <row r="65" spans="1:10" s="14" customFormat="1" ht="15" customHeight="1" x14ac:dyDescent="0.25">
      <c r="C65" s="263"/>
      <c r="D65" s="263"/>
    </row>
    <row r="67" spans="1:10" x14ac:dyDescent="0.25">
      <c r="A67" s="778" t="s">
        <v>79</v>
      </c>
      <c r="B67" s="778"/>
      <c r="C67" s="778"/>
      <c r="D67" s="778"/>
      <c r="E67" s="778"/>
      <c r="F67" s="778"/>
      <c r="G67" s="778"/>
      <c r="H67" s="778"/>
      <c r="I67" s="778"/>
      <c r="J67" s="778"/>
    </row>
    <row r="69" spans="1:10" s="37" customFormat="1" x14ac:dyDescent="0.25">
      <c r="A69" s="37" t="s">
        <v>20</v>
      </c>
      <c r="B69" s="31" t="s">
        <v>804</v>
      </c>
      <c r="F69" s="38">
        <f>F76</f>
        <v>5644.08</v>
      </c>
    </row>
    <row r="70" spans="1:10" s="23" customFormat="1" ht="12.75" x14ac:dyDescent="0.2">
      <c r="B70" s="23" t="s">
        <v>82</v>
      </c>
      <c r="F70" s="39">
        <f>D50</f>
        <v>2399.7399999999998</v>
      </c>
    </row>
    <row r="71" spans="1:10" s="23" customFormat="1" ht="12.75" x14ac:dyDescent="0.2">
      <c r="F71" s="39"/>
    </row>
    <row r="72" spans="1:10" s="23" customFormat="1" ht="12.75" x14ac:dyDescent="0.2">
      <c r="F72" s="39"/>
    </row>
    <row r="73" spans="1:10" s="23" customFormat="1" ht="12.75" x14ac:dyDescent="0.2">
      <c r="B73" s="23" t="s">
        <v>785</v>
      </c>
      <c r="F73" s="39">
        <f>ROUND(D50*0.041,2)</f>
        <v>98.39</v>
      </c>
    </row>
    <row r="74" spans="1:10" s="23" customFormat="1" ht="12.75" x14ac:dyDescent="0.2">
      <c r="B74" s="23" t="s">
        <v>810</v>
      </c>
      <c r="F74" s="39">
        <f>ROUND(D50*0.027,2)</f>
        <v>64.790000000000006</v>
      </c>
    </row>
    <row r="75" spans="1:10" s="23" customFormat="1" ht="12.75" x14ac:dyDescent="0.2">
      <c r="F75" s="39">
        <f>ROUND((F70+F71+F73)*1,2)</f>
        <v>2498.13</v>
      </c>
    </row>
    <row r="76" spans="1:10" s="575" customFormat="1" ht="12.75" x14ac:dyDescent="0.2">
      <c r="B76" s="575" t="s">
        <v>799</v>
      </c>
      <c r="F76" s="582">
        <f>ROUND((F70+F71+F72+F73+F75+F74)*I76,2)</f>
        <v>5644.08</v>
      </c>
      <c r="I76" s="575">
        <f>1.1152</f>
        <v>1.1152</v>
      </c>
    </row>
    <row r="77" spans="1:10" s="23" customFormat="1" ht="12.75" x14ac:dyDescent="0.2">
      <c r="F77" s="39"/>
    </row>
    <row r="78" spans="1:10" s="37" customFormat="1" x14ac:dyDescent="0.25">
      <c r="A78" s="37" t="s">
        <v>21</v>
      </c>
      <c r="B78" s="31" t="s">
        <v>806</v>
      </c>
      <c r="F78" s="38">
        <f>F85</f>
        <v>42639.78</v>
      </c>
    </row>
    <row r="79" spans="1:10" s="23" customFormat="1" ht="12.75" x14ac:dyDescent="0.2">
      <c r="B79" s="23" t="s">
        <v>82</v>
      </c>
      <c r="F79" s="39">
        <f>D53</f>
        <v>17900.330000000002</v>
      </c>
    </row>
    <row r="80" spans="1:10" s="23" customFormat="1" ht="12.75" x14ac:dyDescent="0.2">
      <c r="F80" s="39"/>
    </row>
    <row r="81" spans="1:9" s="23" customFormat="1" ht="12.75" x14ac:dyDescent="0.2">
      <c r="F81" s="39"/>
    </row>
    <row r="82" spans="1:9" s="23" customFormat="1" ht="12.75" x14ac:dyDescent="0.2">
      <c r="B82" s="23" t="s">
        <v>785</v>
      </c>
      <c r="F82" s="39">
        <f>ROUND((D53)*0.041,2)</f>
        <v>733.91</v>
      </c>
    </row>
    <row r="83" spans="1:9" s="23" customFormat="1" ht="12.75" x14ac:dyDescent="0.2">
      <c r="B83" s="23" t="s">
        <v>798</v>
      </c>
      <c r="F83" s="39">
        <f>ROUND((D53)*0.027,2)</f>
        <v>483.31</v>
      </c>
    </row>
    <row r="84" spans="1:9" s="23" customFormat="1" ht="12.75" x14ac:dyDescent="0.2">
      <c r="F84" s="39">
        <f>ROUND((F79+F80+F82+F83)*1,2)</f>
        <v>19117.55</v>
      </c>
    </row>
    <row r="85" spans="1:9" s="575" customFormat="1" ht="12.75" x14ac:dyDescent="0.2">
      <c r="B85" s="575" t="s">
        <v>799</v>
      </c>
      <c r="F85" s="582">
        <f>ROUND((F79+F80+F81+F82+F84+F83)*I85,2)</f>
        <v>42639.78</v>
      </c>
      <c r="I85" s="575">
        <v>1.1152</v>
      </c>
    </row>
    <row r="86" spans="1:9" x14ac:dyDescent="0.25">
      <c r="F86" s="251"/>
    </row>
    <row r="87" spans="1:9" s="37" customFormat="1" x14ac:dyDescent="0.25">
      <c r="A87" s="37" t="s">
        <v>63</v>
      </c>
      <c r="B87" s="31" t="s">
        <v>808</v>
      </c>
      <c r="F87" s="38">
        <f>F94</f>
        <v>10397.09</v>
      </c>
    </row>
    <row r="88" spans="1:9" s="23" customFormat="1" ht="12.75" x14ac:dyDescent="0.2">
      <c r="B88" s="23" t="s">
        <v>82</v>
      </c>
      <c r="F88" s="39">
        <f>D56</f>
        <v>8955.8799999999992</v>
      </c>
    </row>
    <row r="89" spans="1:9" s="23" customFormat="1" ht="12.75" x14ac:dyDescent="0.2">
      <c r="F89" s="39"/>
    </row>
    <row r="90" spans="1:9" s="23" customFormat="1" ht="12.75" x14ac:dyDescent="0.2">
      <c r="F90" s="39"/>
    </row>
    <row r="91" spans="1:9" s="23" customFormat="1" ht="12.75" x14ac:dyDescent="0.2">
      <c r="B91" s="23" t="s">
        <v>785</v>
      </c>
      <c r="F91" s="39">
        <f>ROUND((F88)*0.041,2)</f>
        <v>367.19</v>
      </c>
    </row>
    <row r="92" spans="1:9" s="23" customFormat="1" ht="12.75" x14ac:dyDescent="0.2">
      <c r="B92" s="23" t="s">
        <v>798</v>
      </c>
      <c r="F92" s="39">
        <f>ROUND((D56)*0.027,2)</f>
        <v>241.81</v>
      </c>
    </row>
    <row r="93" spans="1:9" s="23" customFormat="1" ht="12.75" x14ac:dyDescent="0.2">
      <c r="F93" s="39"/>
    </row>
    <row r="94" spans="1:9" s="575" customFormat="1" ht="12.75" x14ac:dyDescent="0.2">
      <c r="B94" s="575" t="s">
        <v>799</v>
      </c>
      <c r="F94" s="582">
        <f>ROUND((F88+F89+F90+F91)*I94,2)</f>
        <v>10397.09</v>
      </c>
      <c r="I94" s="575">
        <f>I85</f>
        <v>1.1152</v>
      </c>
    </row>
    <row r="95" spans="1:9" s="23" customFormat="1" ht="12.75" x14ac:dyDescent="0.2">
      <c r="F95" s="39"/>
    </row>
    <row r="96" spans="1:9" s="23" customFormat="1" ht="12.75" x14ac:dyDescent="0.2">
      <c r="F96" s="39"/>
    </row>
    <row r="97" spans="1:9" ht="16.5" thickBot="1" x14ac:dyDescent="0.3"/>
    <row r="98" spans="1:9" s="37" customFormat="1" x14ac:dyDescent="0.25">
      <c r="A98" s="265"/>
      <c r="B98" s="266" t="s">
        <v>445</v>
      </c>
      <c r="C98" s="266"/>
      <c r="D98" s="266"/>
      <c r="E98" s="266"/>
      <c r="F98" s="266"/>
      <c r="G98" s="266"/>
      <c r="H98" s="266"/>
      <c r="I98" s="267"/>
    </row>
    <row r="99" spans="1:9" x14ac:dyDescent="0.25">
      <c r="A99" s="268"/>
      <c r="B99" s="269"/>
      <c r="C99" s="269"/>
      <c r="D99" s="269"/>
      <c r="E99" s="269"/>
      <c r="F99" s="269"/>
      <c r="G99" s="269"/>
      <c r="H99" s="269"/>
      <c r="I99" s="270"/>
    </row>
    <row r="100" spans="1:9" x14ac:dyDescent="0.25">
      <c r="A100" s="268"/>
      <c r="B100" s="269"/>
      <c r="C100" s="269"/>
      <c r="D100" s="269"/>
      <c r="E100" s="269"/>
      <c r="F100" s="850"/>
      <c r="G100" s="850"/>
      <c r="H100" s="850"/>
      <c r="I100" s="851"/>
    </row>
    <row r="101" spans="1:9" x14ac:dyDescent="0.25">
      <c r="A101" s="268"/>
      <c r="B101" s="271"/>
      <c r="C101" s="269"/>
      <c r="D101" s="269"/>
      <c r="E101" s="269"/>
      <c r="F101" s="269"/>
      <c r="G101" s="269"/>
      <c r="H101" s="269"/>
      <c r="I101" s="270"/>
    </row>
    <row r="102" spans="1:9" x14ac:dyDescent="0.25">
      <c r="A102" s="268"/>
      <c r="B102" s="269" t="str">
        <f>B69</f>
        <v>Столбики сигнальные</v>
      </c>
      <c r="C102" s="269"/>
      <c r="D102" s="269"/>
      <c r="E102" s="269"/>
      <c r="F102" s="272">
        <v>86</v>
      </c>
      <c r="G102" s="272">
        <f>F102*F69/1000</f>
        <v>485.39087999999998</v>
      </c>
      <c r="H102" s="292"/>
      <c r="I102" s="293"/>
    </row>
    <row r="103" spans="1:9" x14ac:dyDescent="0.25">
      <c r="A103" s="268"/>
      <c r="B103" s="269" t="str">
        <f>B78</f>
        <v>Разметка</v>
      </c>
      <c r="C103" s="269"/>
      <c r="D103" s="269"/>
      <c r="E103" s="269"/>
      <c r="F103" s="272">
        <v>8.6692800000000005</v>
      </c>
      <c r="G103" s="272">
        <f>F103*F78/1000</f>
        <v>369.65619195840003</v>
      </c>
      <c r="H103" s="292"/>
      <c r="I103" s="293"/>
    </row>
    <row r="104" spans="1:9" x14ac:dyDescent="0.25">
      <c r="A104" s="268"/>
      <c r="B104" s="269" t="str">
        <f>B87</f>
        <v>Дорожные знаки</v>
      </c>
      <c r="C104" s="269"/>
      <c r="D104" s="269"/>
      <c r="E104" s="269"/>
      <c r="F104" s="272">
        <v>9.0500000000000007</v>
      </c>
      <c r="G104" s="272">
        <f>F104*F87/1000</f>
        <v>94.093664500000017</v>
      </c>
      <c r="H104" s="292"/>
      <c r="I104" s="293"/>
    </row>
    <row r="105" spans="1:9" s="37" customFormat="1" x14ac:dyDescent="0.25">
      <c r="A105" s="280"/>
      <c r="B105" s="281"/>
      <c r="C105" s="281" t="s">
        <v>452</v>
      </c>
      <c r="D105" s="281"/>
      <c r="E105" s="281"/>
      <c r="F105" s="282"/>
      <c r="G105" s="282">
        <f>SUM(G102:G104)</f>
        <v>949.14073645840006</v>
      </c>
      <c r="H105" s="281"/>
      <c r="I105" s="283"/>
    </row>
    <row r="106" spans="1:9" ht="16.5" thickBot="1" x14ac:dyDescent="0.3">
      <c r="A106" s="273"/>
      <c r="B106" s="274"/>
      <c r="C106" s="274"/>
      <c r="D106" s="274"/>
      <c r="E106" s="274"/>
      <c r="F106" s="274"/>
      <c r="G106" s="274"/>
      <c r="H106" s="274"/>
      <c r="I106" s="275"/>
    </row>
  </sheetData>
  <mergeCells count="17">
    <mergeCell ref="A67:J67"/>
    <mergeCell ref="F100:G100"/>
    <mergeCell ref="H100:I100"/>
    <mergeCell ref="C20:J20"/>
    <mergeCell ref="B21:E21"/>
    <mergeCell ref="A25:J25"/>
    <mergeCell ref="A1:J1"/>
    <mergeCell ref="A3:J3"/>
    <mergeCell ref="B15:H15"/>
    <mergeCell ref="A17:I17"/>
    <mergeCell ref="C19:I19"/>
    <mergeCell ref="B6:J6"/>
    <mergeCell ref="B7:J7"/>
    <mergeCell ref="B9:J9"/>
    <mergeCell ref="A11:J11"/>
    <mergeCell ref="B13:H13"/>
    <mergeCell ref="B14:H14"/>
  </mergeCells>
  <pageMargins left="0.51181102362204722" right="0.51181102362204722" top="0.74803149606299213" bottom="0.74803149606299213" header="0.31496062992125984" footer="0.31496062992125984"/>
  <pageSetup paperSize="9" scale="77" orientation="portrait" horizont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5" tint="0.39997558519241921"/>
    <pageSetUpPr fitToPage="1"/>
  </sheetPr>
  <dimension ref="A1:M42"/>
  <sheetViews>
    <sheetView showGridLines="0" view="pageBreakPreview" zoomScale="80" zoomScaleNormal="100" zoomScaleSheetLayoutView="8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1.8554687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46" t="s">
        <v>591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2" s="53" customFormat="1" ht="21" customHeight="1" x14ac:dyDescent="0.25">
      <c r="A4" s="748" t="s">
        <v>8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2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2" x14ac:dyDescent="0.25">
      <c r="A7" s="55" t="s">
        <v>19</v>
      </c>
      <c r="B7" s="753"/>
      <c r="C7" s="754"/>
      <c r="D7" s="753"/>
      <c r="E7" s="756"/>
      <c r="F7" s="756"/>
      <c r="G7" s="756"/>
      <c r="H7" s="754"/>
      <c r="I7" s="753" t="s">
        <v>164</v>
      </c>
      <c r="J7" s="756"/>
      <c r="K7" s="756"/>
      <c r="L7" s="754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21" t="s">
        <v>165</v>
      </c>
      <c r="C9" s="721"/>
      <c r="D9" s="774" t="s">
        <v>166</v>
      </c>
      <c r="E9" s="774"/>
      <c r="F9" s="774"/>
      <c r="G9" s="774"/>
      <c r="H9" s="774"/>
      <c r="I9" s="774" t="s">
        <v>167</v>
      </c>
      <c r="J9" s="774"/>
      <c r="K9" s="774"/>
      <c r="L9" s="775"/>
    </row>
    <row r="10" spans="1:12" x14ac:dyDescent="0.25">
      <c r="A10" s="50" t="s">
        <v>104</v>
      </c>
      <c r="B10" s="60" t="s">
        <v>168</v>
      </c>
      <c r="C10" s="60"/>
      <c r="D10" s="774" t="s">
        <v>81</v>
      </c>
      <c r="E10" s="774"/>
      <c r="F10" s="774"/>
      <c r="G10" s="774"/>
      <c r="H10" s="774"/>
      <c r="I10" s="774" t="s">
        <v>81</v>
      </c>
      <c r="J10" s="774"/>
      <c r="K10" s="774"/>
      <c r="L10" s="775"/>
    </row>
    <row r="11" spans="1:12" ht="33.75" customHeight="1" x14ac:dyDescent="0.25">
      <c r="A11" s="64">
        <v>2</v>
      </c>
      <c r="B11" s="741" t="s">
        <v>169</v>
      </c>
      <c r="C11" s="721"/>
      <c r="D11" s="742">
        <f>D13+D14+D15+F16</f>
        <v>86043.959999999992</v>
      </c>
      <c r="E11" s="742"/>
      <c r="F11" s="742"/>
      <c r="G11" s="742"/>
      <c r="H11" s="742"/>
      <c r="I11" s="742">
        <f>(I13+I14+I15+I16+I17+I18+I19+I20)</f>
        <v>45308.462206159471</v>
      </c>
      <c r="J11" s="742"/>
      <c r="K11" s="742"/>
      <c r="L11" s="743"/>
    </row>
    <row r="12" spans="1:12" x14ac:dyDescent="0.25">
      <c r="A12" s="65"/>
      <c r="B12" s="735" t="s">
        <v>106</v>
      </c>
      <c r="C12" s="735"/>
      <c r="D12" s="67"/>
      <c r="E12" s="736"/>
      <c r="F12" s="736"/>
      <c r="G12" s="736"/>
      <c r="H12" s="736"/>
      <c r="I12" s="736"/>
      <c r="J12" s="68"/>
      <c r="K12" s="68"/>
      <c r="L12" s="69"/>
    </row>
    <row r="13" spans="1:12" x14ac:dyDescent="0.25">
      <c r="A13" s="65"/>
      <c r="B13" s="735" t="s">
        <v>107</v>
      </c>
      <c r="C13" s="735"/>
      <c r="D13" s="736">
        <f>C40</f>
        <v>9113.07</v>
      </c>
      <c r="E13" s="736"/>
      <c r="F13" s="736"/>
      <c r="G13" s="736"/>
      <c r="H13" s="736"/>
      <c r="I13" s="736">
        <f>H40</f>
        <v>4602.9935934896839</v>
      </c>
      <c r="J13" s="736"/>
      <c r="K13" s="736"/>
      <c r="L13" s="773"/>
    </row>
    <row r="14" spans="1:12" x14ac:dyDescent="0.25">
      <c r="A14" s="65"/>
      <c r="B14" s="735" t="s">
        <v>108</v>
      </c>
      <c r="C14" s="735"/>
      <c r="D14" s="736">
        <f>D40</f>
        <v>6607.05</v>
      </c>
      <c r="E14" s="736"/>
      <c r="F14" s="736"/>
      <c r="G14" s="736"/>
      <c r="H14" s="736"/>
      <c r="I14" s="736">
        <f>I40</f>
        <v>2890.0034051006028</v>
      </c>
      <c r="J14" s="736"/>
      <c r="K14" s="736"/>
      <c r="L14" s="773"/>
    </row>
    <row r="15" spans="1:12" x14ac:dyDescent="0.25">
      <c r="A15" s="65"/>
      <c r="B15" s="735" t="s">
        <v>109</v>
      </c>
      <c r="C15" s="735"/>
      <c r="D15" s="736">
        <f>E40</f>
        <v>70141.399999999994</v>
      </c>
      <c r="E15" s="736"/>
      <c r="F15" s="736"/>
      <c r="G15" s="736"/>
      <c r="H15" s="736"/>
      <c r="I15" s="736">
        <f>J40</f>
        <v>36306.168796616686</v>
      </c>
      <c r="J15" s="736"/>
      <c r="K15" s="736"/>
      <c r="L15" s="773"/>
    </row>
    <row r="16" spans="1:12" x14ac:dyDescent="0.25">
      <c r="A16" s="65"/>
      <c r="B16" s="70" t="s">
        <v>110</v>
      </c>
      <c r="C16" s="70"/>
      <c r="D16" s="736">
        <f>F40</f>
        <v>182.44</v>
      </c>
      <c r="E16" s="736"/>
      <c r="F16" s="736">
        <f>F40</f>
        <v>182.44</v>
      </c>
      <c r="G16" s="736"/>
      <c r="H16" s="736"/>
      <c r="I16" s="736">
        <f>K40</f>
        <v>141.34338331410996</v>
      </c>
      <c r="J16" s="736"/>
      <c r="K16" s="736"/>
      <c r="L16" s="773"/>
    </row>
    <row r="17" spans="1:13" x14ac:dyDescent="0.25">
      <c r="A17" s="65"/>
      <c r="B17" s="70" t="s">
        <v>85</v>
      </c>
      <c r="C17" s="70"/>
      <c r="D17" s="67"/>
      <c r="E17" s="67"/>
      <c r="F17" s="67"/>
      <c r="G17" s="67"/>
      <c r="H17" s="67"/>
      <c r="I17" s="736">
        <f>(I13+I14)*0.015</f>
        <v>112.39495497885429</v>
      </c>
      <c r="J17" s="736"/>
      <c r="K17" s="736"/>
      <c r="L17" s="773"/>
    </row>
    <row r="18" spans="1:13" x14ac:dyDescent="0.25">
      <c r="A18" s="65"/>
      <c r="B18" s="70" t="s">
        <v>39</v>
      </c>
      <c r="C18" s="70"/>
      <c r="D18" s="67"/>
      <c r="E18" s="67"/>
      <c r="F18" s="67"/>
      <c r="G18" s="67"/>
      <c r="H18" s="67"/>
      <c r="I18" s="736">
        <f>(I13+I14)*0.029</f>
        <v>217.29691295911832</v>
      </c>
      <c r="J18" s="736"/>
      <c r="K18" s="736"/>
      <c r="L18" s="773"/>
    </row>
    <row r="19" spans="1:13" x14ac:dyDescent="0.25">
      <c r="A19" s="65"/>
      <c r="B19" s="70" t="s">
        <v>40</v>
      </c>
      <c r="C19" s="70"/>
      <c r="D19" s="67"/>
      <c r="E19" s="67"/>
      <c r="F19" s="67"/>
      <c r="G19" s="67"/>
      <c r="H19" s="67"/>
      <c r="I19" s="736">
        <f>(I13+I14)*0.02</f>
        <v>149.85993997180572</v>
      </c>
      <c r="J19" s="736"/>
      <c r="K19" s="736"/>
      <c r="L19" s="773"/>
    </row>
    <row r="20" spans="1:13" x14ac:dyDescent="0.25">
      <c r="A20" s="65"/>
      <c r="B20" s="70" t="s">
        <v>163</v>
      </c>
      <c r="C20" s="70"/>
      <c r="D20" s="67"/>
      <c r="E20" s="67"/>
      <c r="F20" s="67"/>
      <c r="G20" s="67"/>
      <c r="H20" s="67"/>
      <c r="I20" s="736">
        <f>(I13+I16+I17+I18+I19+I14+I15)*0.02</f>
        <v>888.40121972861732</v>
      </c>
      <c r="J20" s="736"/>
      <c r="K20" s="736"/>
      <c r="L20" s="773"/>
    </row>
    <row r="21" spans="1:13" s="578" customFormat="1" x14ac:dyDescent="0.25">
      <c r="A21" s="576"/>
      <c r="B21" s="571" t="s">
        <v>731</v>
      </c>
      <c r="C21" s="571"/>
      <c r="D21" s="562"/>
      <c r="E21" s="562"/>
      <c r="F21" s="562"/>
      <c r="G21" s="562"/>
      <c r="H21" s="562"/>
      <c r="I21" s="562"/>
      <c r="J21" s="562"/>
      <c r="K21" s="562"/>
      <c r="L21" s="577"/>
    </row>
    <row r="22" spans="1:13" x14ac:dyDescent="0.25">
      <c r="A22" s="65"/>
      <c r="B22" s="735" t="s">
        <v>275</v>
      </c>
      <c r="C22" s="735"/>
      <c r="D22" s="736"/>
      <c r="E22" s="736"/>
      <c r="F22" s="736"/>
      <c r="G22" s="736"/>
      <c r="H22" s="736"/>
      <c r="I22" s="101">
        <f>I11*M22</f>
        <v>45557.658748293354</v>
      </c>
      <c r="J22" s="132"/>
      <c r="K22" s="132"/>
      <c r="L22" s="133"/>
      <c r="M22" s="49">
        <f>[16]МГЭ!$I$4</f>
        <v>1.0055000000000001</v>
      </c>
    </row>
    <row r="23" spans="1:13" x14ac:dyDescent="0.25">
      <c r="A23" s="65"/>
      <c r="B23" s="70"/>
      <c r="C23" s="70"/>
      <c r="D23" s="67"/>
      <c r="E23" s="67"/>
      <c r="F23" s="67"/>
      <c r="G23" s="67"/>
      <c r="H23" s="67"/>
      <c r="I23" s="67"/>
      <c r="J23" s="67"/>
      <c r="K23" s="67"/>
      <c r="L23" s="71"/>
    </row>
    <row r="24" spans="1:13" x14ac:dyDescent="0.25">
      <c r="A24" s="50"/>
      <c r="B24" s="52"/>
      <c r="C24" s="52"/>
      <c r="D24" s="52"/>
      <c r="E24" s="52"/>
      <c r="F24" s="52"/>
      <c r="G24" s="52"/>
      <c r="H24" s="52"/>
      <c r="I24" s="742"/>
      <c r="J24" s="742"/>
      <c r="K24" s="742"/>
      <c r="L24" s="743"/>
    </row>
    <row r="25" spans="1:13" x14ac:dyDescent="0.25">
      <c r="A25" s="720" t="s">
        <v>170</v>
      </c>
      <c r="B25" s="721"/>
      <c r="C25" s="721"/>
      <c r="D25" s="721"/>
      <c r="E25" s="721"/>
      <c r="F25" s="721"/>
      <c r="G25" s="721"/>
      <c r="H25" s="721"/>
      <c r="I25" s="721"/>
      <c r="J25" s="721"/>
      <c r="K25" s="721"/>
      <c r="L25" s="722"/>
    </row>
    <row r="26" spans="1:13" ht="13.5" customHeight="1" x14ac:dyDescent="0.25">
      <c r="A26" s="723" t="s">
        <v>112</v>
      </c>
      <c r="B26" s="726" t="s">
        <v>113</v>
      </c>
      <c r="C26" s="729" t="s">
        <v>99</v>
      </c>
      <c r="D26" s="730"/>
      <c r="E26" s="730"/>
      <c r="F26" s="730"/>
      <c r="G26" s="731"/>
      <c r="H26" s="729" t="s">
        <v>100</v>
      </c>
      <c r="I26" s="730"/>
      <c r="J26" s="730"/>
      <c r="K26" s="730"/>
      <c r="L26" s="731"/>
    </row>
    <row r="27" spans="1:13" x14ac:dyDescent="0.25">
      <c r="A27" s="724"/>
      <c r="B27" s="727"/>
      <c r="C27" s="732"/>
      <c r="D27" s="733"/>
      <c r="E27" s="733"/>
      <c r="F27" s="733"/>
      <c r="G27" s="734"/>
      <c r="H27" s="732" t="s">
        <v>164</v>
      </c>
      <c r="I27" s="733"/>
      <c r="J27" s="733"/>
      <c r="K27" s="733"/>
      <c r="L27" s="734"/>
    </row>
    <row r="28" spans="1:13" x14ac:dyDescent="0.25">
      <c r="A28" s="725"/>
      <c r="B28" s="728"/>
      <c r="C28" s="72" t="s">
        <v>114</v>
      </c>
      <c r="D28" s="73" t="s">
        <v>115</v>
      </c>
      <c r="E28" s="73" t="s">
        <v>116</v>
      </c>
      <c r="F28" s="73" t="s">
        <v>13</v>
      </c>
      <c r="G28" s="74" t="s">
        <v>117</v>
      </c>
      <c r="H28" s="72" t="s">
        <v>114</v>
      </c>
      <c r="I28" s="73" t="s">
        <v>115</v>
      </c>
      <c r="J28" s="73" t="s">
        <v>116</v>
      </c>
      <c r="K28" s="73" t="s">
        <v>13</v>
      </c>
      <c r="L28" s="74" t="s">
        <v>117</v>
      </c>
    </row>
    <row r="29" spans="1:13" x14ac:dyDescent="0.25">
      <c r="A29" s="75" t="s">
        <v>118</v>
      </c>
      <c r="B29" s="76">
        <v>2</v>
      </c>
      <c r="C29" s="77">
        <v>3</v>
      </c>
      <c r="D29" s="78">
        <v>4</v>
      </c>
      <c r="E29" s="78">
        <v>5</v>
      </c>
      <c r="F29" s="78">
        <v>6</v>
      </c>
      <c r="G29" s="76">
        <v>7</v>
      </c>
      <c r="H29" s="77">
        <v>8</v>
      </c>
      <c r="I29" s="78">
        <v>9</v>
      </c>
      <c r="J29" s="78">
        <v>10</v>
      </c>
      <c r="K29" s="78">
        <v>11</v>
      </c>
      <c r="L29" s="76">
        <v>12</v>
      </c>
    </row>
    <row r="30" spans="1:13" s="84" customFormat="1" ht="31.5" x14ac:dyDescent="0.25">
      <c r="A30" s="114">
        <v>1</v>
      </c>
      <c r="B30" s="115" t="s">
        <v>171</v>
      </c>
      <c r="C30" s="116">
        <f>1122.82+63.29+370.62</f>
        <v>1556.73</v>
      </c>
      <c r="D30" s="117">
        <v>72.62</v>
      </c>
      <c r="E30" s="117">
        <v>7507.07</v>
      </c>
      <c r="F30" s="117">
        <v>61.08</v>
      </c>
      <c r="G30" s="118">
        <f>F30+E30+D30+C30</f>
        <v>9197.5</v>
      </c>
      <c r="H30" s="116">
        <f>C30</f>
        <v>1556.73</v>
      </c>
      <c r="I30" s="117">
        <f t="shared" ref="I30:K33" si="0">D30</f>
        <v>72.62</v>
      </c>
      <c r="J30" s="117">
        <f t="shared" si="0"/>
        <v>7507.07</v>
      </c>
      <c r="K30" s="117">
        <f t="shared" si="0"/>
        <v>61.08</v>
      </c>
      <c r="L30" s="118">
        <f>K30+J30+I30+H30</f>
        <v>9197.5</v>
      </c>
    </row>
    <row r="31" spans="1:13" s="84" customFormat="1" ht="31.5" x14ac:dyDescent="0.25">
      <c r="A31" s="79" t="s">
        <v>172</v>
      </c>
      <c r="B31" s="80" t="s">
        <v>173</v>
      </c>
      <c r="C31" s="81">
        <v>29.22</v>
      </c>
      <c r="D31" s="82">
        <v>71.11</v>
      </c>
      <c r="E31" s="82">
        <v>3535.72</v>
      </c>
      <c r="F31" s="82"/>
      <c r="G31" s="83">
        <f t="shared" ref="G31:G33" si="1">F31+E31+D31+C31</f>
        <v>3636.0499999999997</v>
      </c>
      <c r="H31" s="81">
        <f t="shared" ref="H31:H33" si="2">C31</f>
        <v>29.22</v>
      </c>
      <c r="I31" s="82">
        <f t="shared" si="0"/>
        <v>71.11</v>
      </c>
      <c r="J31" s="82">
        <f t="shared" si="0"/>
        <v>3535.72</v>
      </c>
      <c r="K31" s="82">
        <f t="shared" si="0"/>
        <v>0</v>
      </c>
      <c r="L31" s="83">
        <f t="shared" ref="L31:L33" si="3">K31+J31+I31+H31</f>
        <v>3636.0499999999997</v>
      </c>
    </row>
    <row r="32" spans="1:13" s="84" customFormat="1" ht="31.5" x14ac:dyDescent="0.25">
      <c r="A32" s="79" t="s">
        <v>120</v>
      </c>
      <c r="B32" s="80" t="s">
        <v>174</v>
      </c>
      <c r="C32" s="81"/>
      <c r="D32" s="82">
        <v>6.95</v>
      </c>
      <c r="E32" s="82">
        <v>2352.12</v>
      </c>
      <c r="F32" s="82"/>
      <c r="G32" s="83">
        <f t="shared" si="1"/>
        <v>2359.0699999999997</v>
      </c>
      <c r="H32" s="81">
        <f t="shared" si="2"/>
        <v>0</v>
      </c>
      <c r="I32" s="82">
        <f t="shared" si="0"/>
        <v>6.95</v>
      </c>
      <c r="J32" s="82">
        <f t="shared" si="0"/>
        <v>2352.12</v>
      </c>
      <c r="K32" s="82">
        <f t="shared" si="0"/>
        <v>0</v>
      </c>
      <c r="L32" s="83">
        <f t="shared" si="3"/>
        <v>2359.0699999999997</v>
      </c>
    </row>
    <row r="33" spans="1:12" s="84" customFormat="1" ht="31.5" x14ac:dyDescent="0.25">
      <c r="A33" s="79" t="s">
        <v>121</v>
      </c>
      <c r="B33" s="80" t="s">
        <v>175</v>
      </c>
      <c r="C33" s="81">
        <v>4.22</v>
      </c>
      <c r="D33" s="82">
        <v>256.26</v>
      </c>
      <c r="E33" s="82">
        <v>308.63</v>
      </c>
      <c r="F33" s="82">
        <v>52.81</v>
      </c>
      <c r="G33" s="83">
        <f t="shared" si="1"/>
        <v>621.92000000000007</v>
      </c>
      <c r="H33" s="81">
        <f t="shared" si="2"/>
        <v>4.22</v>
      </c>
      <c r="I33" s="82">
        <f t="shared" si="0"/>
        <v>256.26</v>
      </c>
      <c r="J33" s="82">
        <f t="shared" si="0"/>
        <v>308.63</v>
      </c>
      <c r="K33" s="82">
        <f t="shared" si="0"/>
        <v>52.81</v>
      </c>
      <c r="L33" s="83">
        <f t="shared" si="3"/>
        <v>621.92000000000007</v>
      </c>
    </row>
    <row r="34" spans="1:12" s="121" customFormat="1" x14ac:dyDescent="0.25">
      <c r="A34" s="119"/>
      <c r="B34" s="120" t="s">
        <v>176</v>
      </c>
      <c r="C34" s="92">
        <f>SUM(C30:C33)</f>
        <v>1590.17</v>
      </c>
      <c r="D34" s="93">
        <f t="shared" ref="D34:G34" si="4">SUM(D30:D33)</f>
        <v>406.94</v>
      </c>
      <c r="E34" s="93">
        <f t="shared" si="4"/>
        <v>13703.539999999999</v>
      </c>
      <c r="F34" s="93">
        <f t="shared" si="4"/>
        <v>113.89</v>
      </c>
      <c r="G34" s="94">
        <f t="shared" si="4"/>
        <v>15814.539999999999</v>
      </c>
      <c r="H34" s="92">
        <f>SUM(H30:H33)</f>
        <v>1590.17</v>
      </c>
      <c r="I34" s="93">
        <f t="shared" ref="I34:L34" si="5">SUM(I30:I33)</f>
        <v>406.94</v>
      </c>
      <c r="J34" s="93">
        <f t="shared" si="5"/>
        <v>13703.539999999999</v>
      </c>
      <c r="K34" s="93">
        <f t="shared" si="5"/>
        <v>113.89</v>
      </c>
      <c r="L34" s="94">
        <f t="shared" si="5"/>
        <v>15814.539999999999</v>
      </c>
    </row>
    <row r="35" spans="1:12" s="84" customFormat="1" x14ac:dyDescent="0.25">
      <c r="A35" s="85" t="s">
        <v>177</v>
      </c>
      <c r="B35" s="86" t="s">
        <v>178</v>
      </c>
      <c r="C35" s="87">
        <v>7513.29</v>
      </c>
      <c r="D35" s="88">
        <v>4512.1000000000004</v>
      </c>
      <c r="E35" s="88"/>
      <c r="F35" s="88">
        <v>59.46</v>
      </c>
      <c r="G35" s="89">
        <f t="shared" ref="G35:G38" si="6">F35+E35+D35+C35</f>
        <v>12084.85</v>
      </c>
      <c r="H35" s="87">
        <f>C35/312.12*125</f>
        <v>3008.9749134948097</v>
      </c>
      <c r="I35" s="88">
        <f t="shared" ref="I35:K38" si="7">D35/312.12*125</f>
        <v>1807.0373574266309</v>
      </c>
      <c r="J35" s="88">
        <f t="shared" si="7"/>
        <v>0</v>
      </c>
      <c r="K35" s="88">
        <f t="shared" si="7"/>
        <v>23.812956555171091</v>
      </c>
      <c r="L35" s="83">
        <f t="shared" ref="L35:L38" si="8">K35+J35+I35+H35</f>
        <v>4839.8252274766119</v>
      </c>
    </row>
    <row r="36" spans="1:12" s="84" customFormat="1" ht="31.5" x14ac:dyDescent="0.25">
      <c r="A36" s="85" t="s">
        <v>179</v>
      </c>
      <c r="B36" s="86" t="s">
        <v>180</v>
      </c>
      <c r="C36" s="87"/>
      <c r="D36" s="88">
        <v>348.07</v>
      </c>
      <c r="E36" s="88"/>
      <c r="F36" s="88"/>
      <c r="G36" s="89">
        <f t="shared" si="6"/>
        <v>348.07</v>
      </c>
      <c r="H36" s="87">
        <f t="shared" ref="H36:H38" si="9">C36/312.12*125</f>
        <v>0</v>
      </c>
      <c r="I36" s="88">
        <f t="shared" si="7"/>
        <v>139.39750736896065</v>
      </c>
      <c r="J36" s="88">
        <f t="shared" si="7"/>
        <v>0</v>
      </c>
      <c r="K36" s="88">
        <f t="shared" si="7"/>
        <v>0</v>
      </c>
      <c r="L36" s="83">
        <f t="shared" si="8"/>
        <v>139.39750736896065</v>
      </c>
    </row>
    <row r="37" spans="1:12" s="84" customFormat="1" ht="31.5" x14ac:dyDescent="0.25">
      <c r="A37" s="85" t="s">
        <v>181</v>
      </c>
      <c r="B37" s="86" t="s">
        <v>182</v>
      </c>
      <c r="C37" s="87"/>
      <c r="D37" s="88">
        <v>1084.97</v>
      </c>
      <c r="E37" s="88">
        <v>56437.86</v>
      </c>
      <c r="F37" s="88"/>
      <c r="G37" s="89">
        <f t="shared" si="6"/>
        <v>57522.83</v>
      </c>
      <c r="H37" s="87">
        <f t="shared" si="9"/>
        <v>0</v>
      </c>
      <c r="I37" s="88">
        <f t="shared" si="7"/>
        <v>434.51637190824044</v>
      </c>
      <c r="J37" s="88">
        <f t="shared" si="7"/>
        <v>22602.628796616686</v>
      </c>
      <c r="K37" s="88">
        <f t="shared" si="7"/>
        <v>0</v>
      </c>
      <c r="L37" s="83">
        <f t="shared" si="8"/>
        <v>23037.145168524927</v>
      </c>
    </row>
    <row r="38" spans="1:12" s="84" customFormat="1" x14ac:dyDescent="0.25">
      <c r="A38" s="85" t="s">
        <v>183</v>
      </c>
      <c r="B38" s="86" t="s">
        <v>184</v>
      </c>
      <c r="C38" s="87">
        <v>9.61</v>
      </c>
      <c r="D38" s="88">
        <v>254.97</v>
      </c>
      <c r="E38" s="88"/>
      <c r="F38" s="88">
        <v>9.09</v>
      </c>
      <c r="G38" s="89">
        <f t="shared" si="6"/>
        <v>273.67</v>
      </c>
      <c r="H38" s="87">
        <f t="shared" si="9"/>
        <v>3.8486799948737662</v>
      </c>
      <c r="I38" s="88">
        <f t="shared" si="7"/>
        <v>102.11216839677047</v>
      </c>
      <c r="J38" s="88">
        <f t="shared" si="7"/>
        <v>0</v>
      </c>
      <c r="K38" s="88">
        <f t="shared" si="7"/>
        <v>3.6404267589388697</v>
      </c>
      <c r="L38" s="83">
        <f t="shared" si="8"/>
        <v>109.60127515058311</v>
      </c>
    </row>
    <row r="39" spans="1:12" s="121" customFormat="1" x14ac:dyDescent="0.25">
      <c r="A39" s="122"/>
      <c r="B39" s="123" t="s">
        <v>185</v>
      </c>
      <c r="C39" s="124">
        <f>SUM(C35:C38)</f>
        <v>7522.9</v>
      </c>
      <c r="D39" s="125">
        <f t="shared" ref="D39:G39" si="10">SUM(D35:D38)</f>
        <v>6200.1100000000006</v>
      </c>
      <c r="E39" s="125">
        <f t="shared" si="10"/>
        <v>56437.86</v>
      </c>
      <c r="F39" s="125">
        <f t="shared" si="10"/>
        <v>68.55</v>
      </c>
      <c r="G39" s="126">
        <f t="shared" si="10"/>
        <v>70229.42</v>
      </c>
      <c r="H39" s="124">
        <f>SUM(H35:H38)</f>
        <v>3012.8235934896834</v>
      </c>
      <c r="I39" s="125">
        <f t="shared" ref="I39:L39" si="11">SUM(I35:I38)</f>
        <v>2483.0634051006027</v>
      </c>
      <c r="J39" s="125">
        <f t="shared" si="11"/>
        <v>22602.628796616686</v>
      </c>
      <c r="K39" s="125">
        <f t="shared" si="11"/>
        <v>27.45338331410996</v>
      </c>
      <c r="L39" s="126">
        <f t="shared" si="11"/>
        <v>28125.969178521082</v>
      </c>
    </row>
    <row r="40" spans="1:12" s="53" customFormat="1" ht="21.75" customHeight="1" x14ac:dyDescent="0.25">
      <c r="A40" s="90"/>
      <c r="B40" s="91" t="s">
        <v>122</v>
      </c>
      <c r="C40" s="92">
        <f>C34+C39</f>
        <v>9113.07</v>
      </c>
      <c r="D40" s="93">
        <f t="shared" ref="D40:G40" si="12">D34+D39</f>
        <v>6607.05</v>
      </c>
      <c r="E40" s="93">
        <f t="shared" si="12"/>
        <v>70141.399999999994</v>
      </c>
      <c r="F40" s="93">
        <f t="shared" si="12"/>
        <v>182.44</v>
      </c>
      <c r="G40" s="94">
        <f t="shared" si="12"/>
        <v>86043.959999999992</v>
      </c>
      <c r="H40" s="92">
        <f>H34+H39</f>
        <v>4602.9935934896839</v>
      </c>
      <c r="I40" s="93">
        <f t="shared" ref="I40:L40" si="13">I34+I39</f>
        <v>2890.0034051006028</v>
      </c>
      <c r="J40" s="93">
        <f t="shared" si="13"/>
        <v>36306.168796616686</v>
      </c>
      <c r="K40" s="93">
        <f t="shared" si="13"/>
        <v>141.34338331410996</v>
      </c>
      <c r="L40" s="94">
        <f t="shared" si="13"/>
        <v>43940.509178521083</v>
      </c>
    </row>
    <row r="41" spans="1:12" s="53" customFormat="1" x14ac:dyDescent="0.25">
      <c r="A41" s="127"/>
      <c r="B41" s="128"/>
      <c r="C41" s="129"/>
      <c r="D41" s="130"/>
      <c r="E41" s="130"/>
      <c r="F41" s="130"/>
      <c r="G41" s="131"/>
      <c r="H41" s="129"/>
      <c r="I41" s="130"/>
      <c r="J41" s="130"/>
      <c r="K41" s="130"/>
      <c r="L41" s="131"/>
    </row>
    <row r="42" spans="1:12" x14ac:dyDescent="0.25">
      <c r="A42" s="95"/>
      <c r="B42" s="96"/>
      <c r="C42" s="97"/>
      <c r="D42" s="97"/>
      <c r="E42" s="97"/>
      <c r="F42" s="97"/>
      <c r="G42" s="97"/>
      <c r="H42" s="97"/>
      <c r="I42" s="97"/>
      <c r="J42" s="97"/>
      <c r="K42" s="97"/>
      <c r="L42" s="98"/>
    </row>
  </sheetData>
  <mergeCells count="44">
    <mergeCell ref="A25:L25"/>
    <mergeCell ref="A26:A28"/>
    <mergeCell ref="B26:B28"/>
    <mergeCell ref="C26:G26"/>
    <mergeCell ref="H26:L26"/>
    <mergeCell ref="C27:G27"/>
    <mergeCell ref="H27:L27"/>
    <mergeCell ref="D16:H16"/>
    <mergeCell ref="I16:L16"/>
    <mergeCell ref="B22:C22"/>
    <mergeCell ref="D22:H22"/>
    <mergeCell ref="I24:L24"/>
    <mergeCell ref="I17:L17"/>
    <mergeCell ref="I18:L18"/>
    <mergeCell ref="I19:L19"/>
    <mergeCell ref="I20:L20"/>
    <mergeCell ref="B14:C14"/>
    <mergeCell ref="D14:H14"/>
    <mergeCell ref="I14:L14"/>
    <mergeCell ref="B15:C15"/>
    <mergeCell ref="D15:H15"/>
    <mergeCell ref="I15:L15"/>
    <mergeCell ref="B13:C13"/>
    <mergeCell ref="D13:H13"/>
    <mergeCell ref="I13:L13"/>
    <mergeCell ref="B8:C8"/>
    <mergeCell ref="B9:C9"/>
    <mergeCell ref="D9:H9"/>
    <mergeCell ref="I9:L9"/>
    <mergeCell ref="D10:H10"/>
    <mergeCell ref="I10:L10"/>
    <mergeCell ref="B11:C11"/>
    <mergeCell ref="D11:H11"/>
    <mergeCell ref="I11:L11"/>
    <mergeCell ref="B12:C12"/>
    <mergeCell ref="E12:I12"/>
    <mergeCell ref="A1:L1"/>
    <mergeCell ref="A3:L3"/>
    <mergeCell ref="A4:L4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8" fitToHeight="10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5" tint="0.39997558519241921"/>
    <pageSetUpPr fitToPage="1"/>
  </sheetPr>
  <dimension ref="A1:M42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46" t="s">
        <v>592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2" s="53" customFormat="1" ht="21" customHeight="1" x14ac:dyDescent="0.25">
      <c r="A4" s="748" t="s">
        <v>9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2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2" x14ac:dyDescent="0.25">
      <c r="A7" s="55" t="s">
        <v>19</v>
      </c>
      <c r="B7" s="753"/>
      <c r="C7" s="754"/>
      <c r="D7" s="753">
        <f>C25</f>
        <v>0</v>
      </c>
      <c r="E7" s="756"/>
      <c r="F7" s="756"/>
      <c r="G7" s="756"/>
      <c r="H7" s="754"/>
      <c r="I7" s="753" t="s">
        <v>317</v>
      </c>
      <c r="J7" s="756"/>
      <c r="K7" s="756"/>
      <c r="L7" s="754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21" t="s">
        <v>318</v>
      </c>
      <c r="C9" s="721"/>
      <c r="D9" s="774" t="s">
        <v>329</v>
      </c>
      <c r="E9" s="774"/>
      <c r="F9" s="774"/>
      <c r="G9" s="774"/>
      <c r="H9" s="774"/>
      <c r="I9" s="774" t="s">
        <v>330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105</v>
      </c>
      <c r="C10" s="721"/>
      <c r="D10" s="742">
        <f>D12+D13+D14+F15</f>
        <v>276.49832219788101</v>
      </c>
      <c r="E10" s="742"/>
      <c r="F10" s="742"/>
      <c r="G10" s="742"/>
      <c r="H10" s="742"/>
      <c r="I10" s="742">
        <f>I12+I13+I14+I15+I16+I17+I18+I19</f>
        <v>34278.138695561756</v>
      </c>
      <c r="J10" s="742"/>
      <c r="K10" s="742"/>
      <c r="L10" s="743"/>
    </row>
    <row r="11" spans="1:12" x14ac:dyDescent="0.25">
      <c r="A11" s="65"/>
      <c r="B11" s="735" t="s">
        <v>106</v>
      </c>
      <c r="C11" s="735"/>
      <c r="D11" s="219"/>
      <c r="E11" s="736"/>
      <c r="F11" s="736"/>
      <c r="G11" s="736"/>
      <c r="H11" s="736"/>
      <c r="I11" s="736"/>
      <c r="J11" s="68"/>
      <c r="K11" s="68"/>
      <c r="L11" s="69"/>
    </row>
    <row r="12" spans="1:12" x14ac:dyDescent="0.25">
      <c r="A12" s="65"/>
      <c r="B12" s="735" t="s">
        <v>107</v>
      </c>
      <c r="C12" s="735"/>
      <c r="D12" s="736">
        <f>C30</f>
        <v>232.26300219788101</v>
      </c>
      <c r="E12" s="736"/>
      <c r="F12" s="736"/>
      <c r="G12" s="736"/>
      <c r="H12" s="736"/>
      <c r="I12" s="736">
        <f>H30</f>
        <v>26789.367813944602</v>
      </c>
      <c r="J12" s="736"/>
      <c r="K12" s="736"/>
      <c r="L12" s="773"/>
    </row>
    <row r="13" spans="1:12" x14ac:dyDescent="0.25">
      <c r="A13" s="65"/>
      <c r="B13" s="735" t="s">
        <v>108</v>
      </c>
      <c r="C13" s="735"/>
      <c r="D13" s="736">
        <f>D30</f>
        <v>0</v>
      </c>
      <c r="E13" s="736"/>
      <c r="F13" s="736"/>
      <c r="G13" s="736"/>
      <c r="H13" s="736"/>
      <c r="I13" s="736">
        <v>0</v>
      </c>
      <c r="J13" s="736"/>
      <c r="K13" s="736"/>
      <c r="L13" s="773"/>
    </row>
    <row r="14" spans="1:12" x14ac:dyDescent="0.25">
      <c r="A14" s="65"/>
      <c r="B14" s="735" t="s">
        <v>109</v>
      </c>
      <c r="C14" s="735"/>
      <c r="D14" s="736">
        <f>E30</f>
        <v>0</v>
      </c>
      <c r="E14" s="736"/>
      <c r="F14" s="736"/>
      <c r="G14" s="736"/>
      <c r="H14" s="736"/>
      <c r="I14" s="736">
        <v>0</v>
      </c>
      <c r="J14" s="736"/>
      <c r="K14" s="736"/>
      <c r="L14" s="773"/>
    </row>
    <row r="15" spans="1:12" x14ac:dyDescent="0.25">
      <c r="A15" s="65"/>
      <c r="B15" s="221" t="s">
        <v>110</v>
      </c>
      <c r="C15" s="221"/>
      <c r="D15" s="736">
        <f>F30</f>
        <v>44.235320000000002</v>
      </c>
      <c r="E15" s="736"/>
      <c r="F15" s="736">
        <f>F30</f>
        <v>44.235320000000002</v>
      </c>
      <c r="G15" s="736"/>
      <c r="H15" s="736"/>
      <c r="I15" s="736">
        <f>K30</f>
        <v>5102.1309749450547</v>
      </c>
      <c r="J15" s="736"/>
      <c r="K15" s="736"/>
      <c r="L15" s="773"/>
    </row>
    <row r="16" spans="1:12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36">
        <f>I12*0.015</f>
        <v>401.84051720916904</v>
      </c>
      <c r="J16" s="736"/>
      <c r="K16" s="736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36">
        <f>I12*0.029</f>
        <v>776.89166660439355</v>
      </c>
      <c r="J17" s="736"/>
      <c r="K17" s="736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36">
        <f>I12*0.02</f>
        <v>535.78735627889205</v>
      </c>
      <c r="J18" s="736"/>
      <c r="K18" s="736"/>
      <c r="L18" s="773"/>
    </row>
    <row r="19" spans="1:13" x14ac:dyDescent="0.25">
      <c r="A19" s="65"/>
      <c r="B19" s="221" t="s">
        <v>372</v>
      </c>
      <c r="C19" s="221"/>
      <c r="D19" s="219"/>
      <c r="E19" s="219"/>
      <c r="F19" s="219"/>
      <c r="G19" s="219"/>
      <c r="H19" s="219"/>
      <c r="I19" s="736">
        <f>(I12+I15+I16+I17+I18+I14+I13)*0.02</f>
        <v>672.12036657964234</v>
      </c>
      <c r="J19" s="736"/>
      <c r="K19" s="736"/>
      <c r="L19" s="773"/>
    </row>
    <row r="20" spans="1:13" s="586" customFormat="1" x14ac:dyDescent="0.25">
      <c r="A20" s="584"/>
      <c r="B20" s="571" t="s">
        <v>725</v>
      </c>
      <c r="C20" s="585"/>
      <c r="D20" s="568"/>
      <c r="E20" s="568"/>
      <c r="F20" s="568"/>
      <c r="G20" s="568"/>
      <c r="H20" s="568"/>
      <c r="I20" s="852"/>
      <c r="J20" s="852"/>
      <c r="K20" s="852"/>
      <c r="L20" s="853"/>
      <c r="M20" s="586">
        <f>[16]МГЭ!$I$5</f>
        <v>1.4041999999999999</v>
      </c>
    </row>
    <row r="21" spans="1:13" s="103" customFormat="1" x14ac:dyDescent="0.25">
      <c r="A21" s="107"/>
      <c r="B21" s="103" t="s">
        <v>331</v>
      </c>
      <c r="C21" s="106"/>
      <c r="D21" s="105"/>
      <c r="E21" s="105"/>
      <c r="F21" s="105"/>
      <c r="G21" s="105"/>
      <c r="H21" s="105"/>
      <c r="I21" s="105"/>
      <c r="J21" s="247">
        <f>I10*M20</f>
        <v>48133.362356307814</v>
      </c>
      <c r="K21" s="247"/>
      <c r="L21" s="104"/>
    </row>
    <row r="22" spans="1:13" x14ac:dyDescent="0.25">
      <c r="A22" s="65"/>
      <c r="B22" s="208"/>
      <c r="C22" s="208"/>
      <c r="D22" s="208"/>
      <c r="E22" s="208"/>
      <c r="F22" s="208"/>
      <c r="G22" s="208"/>
      <c r="H22" s="208"/>
      <c r="I22" s="101"/>
      <c r="J22" s="101"/>
      <c r="K22" s="101"/>
      <c r="L22" s="102"/>
    </row>
    <row r="23" spans="1:13" x14ac:dyDescent="0.25">
      <c r="A23" s="720" t="s">
        <v>111</v>
      </c>
      <c r="B23" s="721"/>
      <c r="C23" s="721"/>
      <c r="D23" s="721"/>
      <c r="E23" s="721"/>
      <c r="F23" s="721"/>
      <c r="G23" s="721"/>
      <c r="H23" s="721"/>
      <c r="I23" s="721"/>
      <c r="J23" s="721"/>
      <c r="K23" s="721"/>
      <c r="L23" s="722"/>
    </row>
    <row r="24" spans="1:13" ht="13.5" customHeight="1" x14ac:dyDescent="0.25">
      <c r="A24" s="723" t="s">
        <v>112</v>
      </c>
      <c r="B24" s="726" t="s">
        <v>113</v>
      </c>
      <c r="C24" s="729" t="s">
        <v>99</v>
      </c>
      <c r="D24" s="730"/>
      <c r="E24" s="730"/>
      <c r="F24" s="730"/>
      <c r="G24" s="731"/>
      <c r="H24" s="729" t="s">
        <v>100</v>
      </c>
      <c r="I24" s="730"/>
      <c r="J24" s="730"/>
      <c r="K24" s="730"/>
      <c r="L24" s="731"/>
    </row>
    <row r="25" spans="1:13" x14ac:dyDescent="0.25">
      <c r="A25" s="724"/>
      <c r="B25" s="727"/>
      <c r="C25" s="732"/>
      <c r="D25" s="733"/>
      <c r="E25" s="733"/>
      <c r="F25" s="733"/>
      <c r="G25" s="734"/>
      <c r="H25" s="732" t="str">
        <f>I7</f>
        <v>Снос зданий</v>
      </c>
      <c r="I25" s="733"/>
      <c r="J25" s="733"/>
      <c r="K25" s="733"/>
      <c r="L25" s="734"/>
    </row>
    <row r="26" spans="1:13" x14ac:dyDescent="0.25">
      <c r="A26" s="725"/>
      <c r="B26" s="728"/>
      <c r="C26" s="72" t="s">
        <v>114</v>
      </c>
      <c r="D26" s="217" t="s">
        <v>115</v>
      </c>
      <c r="E26" s="217" t="s">
        <v>116</v>
      </c>
      <c r="F26" s="217" t="s">
        <v>13</v>
      </c>
      <c r="G26" s="218" t="s">
        <v>117</v>
      </c>
      <c r="H26" s="72" t="s">
        <v>114</v>
      </c>
      <c r="I26" s="217" t="s">
        <v>115</v>
      </c>
      <c r="J26" s="217" t="s">
        <v>116</v>
      </c>
      <c r="K26" s="217" t="s">
        <v>13</v>
      </c>
      <c r="L26" s="218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s="84" customFormat="1" ht="31.5" x14ac:dyDescent="0.25">
      <c r="A28" s="79">
        <v>1</v>
      </c>
      <c r="B28" s="80" t="s">
        <v>332</v>
      </c>
      <c r="C28" s="81">
        <f>D35/1000</f>
        <v>232.26300219788101</v>
      </c>
      <c r="D28" s="82"/>
      <c r="E28" s="82"/>
      <c r="F28" s="82"/>
      <c r="G28" s="189">
        <f>F28+E28+D28+C28</f>
        <v>232.26300219788101</v>
      </c>
      <c r="H28" s="81">
        <f>C28/145.6*16793.6</f>
        <v>26789.367813944602</v>
      </c>
      <c r="I28" s="81">
        <f t="shared" ref="I28:K29" si="0">D28/145.6*63000</f>
        <v>0</v>
      </c>
      <c r="J28" s="81">
        <f t="shared" si="0"/>
        <v>0</v>
      </c>
      <c r="K28" s="81">
        <f t="shared" si="0"/>
        <v>0</v>
      </c>
      <c r="L28" s="189">
        <f>K28+J28+I28+H28</f>
        <v>26789.367813944602</v>
      </c>
    </row>
    <row r="29" spans="1:13" s="84" customFormat="1" x14ac:dyDescent="0.25">
      <c r="A29" s="85">
        <v>2</v>
      </c>
      <c r="B29" s="86" t="s">
        <v>319</v>
      </c>
      <c r="C29" s="87"/>
      <c r="D29" s="88"/>
      <c r="E29" s="88"/>
      <c r="F29" s="88">
        <f>E35/1000</f>
        <v>44.235320000000002</v>
      </c>
      <c r="G29" s="244">
        <f t="shared" ref="G29" si="1">F29+E29+D29+C29</f>
        <v>44.235320000000002</v>
      </c>
      <c r="H29" s="81">
        <f>C29/145.6*63000</f>
        <v>0</v>
      </c>
      <c r="I29" s="81">
        <f t="shared" si="0"/>
        <v>0</v>
      </c>
      <c r="J29" s="81">
        <f t="shared" si="0"/>
        <v>0</v>
      </c>
      <c r="K29" s="81">
        <f>F29/145.6*16793.6</f>
        <v>5102.1309749450547</v>
      </c>
      <c r="L29" s="244">
        <f t="shared" ref="L29" si="2">K29+J29+I29+H29</f>
        <v>5102.1309749450547</v>
      </c>
    </row>
    <row r="30" spans="1:13" s="53" customFormat="1" ht="21.75" customHeight="1" x14ac:dyDescent="0.25">
      <c r="A30" s="90"/>
      <c r="B30" s="91" t="s">
        <v>122</v>
      </c>
      <c r="C30" s="92">
        <f>C28+C29</f>
        <v>232.26300219788101</v>
      </c>
      <c r="D30" s="92">
        <f t="shared" ref="D30:L30" si="3">D28+D29</f>
        <v>0</v>
      </c>
      <c r="E30" s="92">
        <f t="shared" si="3"/>
        <v>0</v>
      </c>
      <c r="F30" s="92">
        <f t="shared" si="3"/>
        <v>44.235320000000002</v>
      </c>
      <c r="G30" s="92">
        <f t="shared" si="3"/>
        <v>276.49832219788101</v>
      </c>
      <c r="H30" s="92">
        <f t="shared" si="3"/>
        <v>26789.367813944602</v>
      </c>
      <c r="I30" s="92">
        <f t="shared" si="3"/>
        <v>0</v>
      </c>
      <c r="J30" s="92">
        <f t="shared" si="3"/>
        <v>0</v>
      </c>
      <c r="K30" s="92">
        <f t="shared" si="3"/>
        <v>5102.1309749450547</v>
      </c>
      <c r="L30" s="92">
        <f t="shared" si="3"/>
        <v>31891.498788889658</v>
      </c>
      <c r="M30" s="245"/>
    </row>
    <row r="31" spans="1:13" s="53" customFormat="1" x14ac:dyDescent="0.25">
      <c r="A31" s="127"/>
      <c r="B31" s="128"/>
      <c r="C31" s="129"/>
      <c r="D31" s="130"/>
      <c r="E31" s="130"/>
      <c r="F31" s="130"/>
      <c r="G31" s="131"/>
      <c r="H31" s="129"/>
      <c r="I31" s="130"/>
      <c r="J31" s="130"/>
      <c r="K31" s="130"/>
      <c r="L31" s="246"/>
    </row>
    <row r="32" spans="1:13" x14ac:dyDescent="0.25">
      <c r="A32" s="95"/>
      <c r="B32" s="96"/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5" spans="2:5" x14ac:dyDescent="0.25">
      <c r="B35" s="49" t="s">
        <v>320</v>
      </c>
      <c r="C35" s="49" t="s">
        <v>328</v>
      </c>
      <c r="D35" s="49">
        <f>(76333.02+6786.46+579.07+948.72+86.6+998.76+4457.822197881+35880.08+1803.62+5066.37+25.33)+(81738.05+4108.8+448.2+40.91+471.84+2106+10383.35)</f>
        <v>232263.002197881</v>
      </c>
      <c r="E35" s="49">
        <f>14117.27+6466.37+4176.62+1489.74+3751.9+1718.55+52.7+8547.17+3915</f>
        <v>44235.32</v>
      </c>
    </row>
    <row r="36" spans="2:5" x14ac:dyDescent="0.25">
      <c r="B36" s="49" t="s">
        <v>321</v>
      </c>
      <c r="C36" s="49">
        <v>45.5</v>
      </c>
      <c r="D36" s="49" t="s">
        <v>22</v>
      </c>
    </row>
    <row r="37" spans="2:5" x14ac:dyDescent="0.25">
      <c r="B37" s="49" t="s">
        <v>322</v>
      </c>
      <c r="C37" s="49">
        <v>145.6</v>
      </c>
      <c r="D37" s="49" t="s">
        <v>323</v>
      </c>
    </row>
    <row r="38" spans="2:5" x14ac:dyDescent="0.25">
      <c r="B38" s="49" t="s">
        <v>324</v>
      </c>
      <c r="C38" s="49">
        <f>C37/C36</f>
        <v>3.1999999999999997</v>
      </c>
      <c r="D38" s="49" t="s">
        <v>325</v>
      </c>
    </row>
    <row r="40" spans="2:5" x14ac:dyDescent="0.25">
      <c r="B40" s="49" t="s">
        <v>326</v>
      </c>
    </row>
    <row r="41" spans="2:5" x14ac:dyDescent="0.25">
      <c r="B41" s="49" t="s">
        <v>327</v>
      </c>
      <c r="C41" s="49">
        <f>100+20+60+3530+55+500+200+220+30+70+230+180+36+17</f>
        <v>5248</v>
      </c>
      <c r="D41" s="49" t="s">
        <v>22</v>
      </c>
    </row>
    <row r="42" spans="2:5" x14ac:dyDescent="0.25">
      <c r="B42" s="49" t="s">
        <v>322</v>
      </c>
      <c r="C42" s="49">
        <f>C41*C38</f>
        <v>16793.599999999999</v>
      </c>
      <c r="D42" s="49" t="s">
        <v>323</v>
      </c>
    </row>
  </sheetData>
  <mergeCells count="40">
    <mergeCell ref="A1:L1"/>
    <mergeCell ref="A3:L3"/>
    <mergeCell ref="A4:L4"/>
    <mergeCell ref="B6:C7"/>
    <mergeCell ref="D6:H6"/>
    <mergeCell ref="I6:L6"/>
    <mergeCell ref="D7:H7"/>
    <mergeCell ref="I7:L7"/>
    <mergeCell ref="B8:C8"/>
    <mergeCell ref="B9:C9"/>
    <mergeCell ref="D9:H9"/>
    <mergeCell ref="I9:L9"/>
    <mergeCell ref="B10:C10"/>
    <mergeCell ref="D10:H10"/>
    <mergeCell ref="I10:L10"/>
    <mergeCell ref="I16:L16"/>
    <mergeCell ref="I17:L17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I18:L18"/>
    <mergeCell ref="I20:L20"/>
    <mergeCell ref="I19:L19"/>
    <mergeCell ref="A23:L23"/>
    <mergeCell ref="A24:A26"/>
    <mergeCell ref="B24:B26"/>
    <mergeCell ref="C24:G24"/>
    <mergeCell ref="H24:L24"/>
    <mergeCell ref="C25:G25"/>
    <mergeCell ref="H25:L25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FF00"/>
    <pageSetUpPr fitToPage="1"/>
  </sheetPr>
  <dimension ref="A1:P60"/>
  <sheetViews>
    <sheetView showGridLines="0" view="pageBreakPreview" topLeftCell="A25" zoomScale="90" zoomScaleNormal="100" zoomScaleSheetLayoutView="90" workbookViewId="0">
      <selection activeCell="C33" sqref="C33:G34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6" x14ac:dyDescent="0.25">
      <c r="A2" s="50"/>
      <c r="B2" s="236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46" t="s">
        <v>593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6" s="53" customFormat="1" ht="33.75" customHeight="1" x14ac:dyDescent="0.25">
      <c r="A4" s="828" t="s">
        <v>675</v>
      </c>
      <c r="B4" s="829"/>
      <c r="C4" s="829"/>
      <c r="D4" s="829"/>
      <c r="E4" s="829"/>
      <c r="F4" s="829"/>
      <c r="G4" s="829"/>
      <c r="H4" s="829"/>
      <c r="I4" s="829"/>
      <c r="J4" s="829"/>
      <c r="K4" s="829"/>
      <c r="L4" s="829"/>
    </row>
    <row r="5" spans="1:16" ht="45" customHeight="1" x14ac:dyDescent="0.25">
      <c r="A5" s="50" t="s">
        <v>20</v>
      </c>
      <c r="B5" s="854"/>
      <c r="C5" s="854"/>
      <c r="D5" s="854"/>
      <c r="E5" s="854"/>
      <c r="F5" s="854"/>
      <c r="G5" s="854"/>
      <c r="H5" s="854"/>
      <c r="I5" s="854"/>
      <c r="J5" s="854"/>
      <c r="K5" s="854"/>
      <c r="L5" s="854"/>
    </row>
    <row r="6" spans="1:16" ht="13.5" customHeight="1" x14ac:dyDescent="0.25">
      <c r="A6" s="54" t="s">
        <v>97</v>
      </c>
      <c r="B6" s="830" t="s">
        <v>98</v>
      </c>
      <c r="C6" s="751" t="s">
        <v>826</v>
      </c>
      <c r="D6" s="755"/>
      <c r="E6" s="755"/>
      <c r="F6" s="755"/>
      <c r="G6" s="752"/>
      <c r="H6" s="751" t="s">
        <v>100</v>
      </c>
      <c r="I6" s="755"/>
      <c r="J6" s="755"/>
      <c r="K6" s="755"/>
      <c r="L6" s="752"/>
    </row>
    <row r="7" spans="1:16" ht="63.75" customHeight="1" x14ac:dyDescent="0.25">
      <c r="A7" s="55" t="s">
        <v>19</v>
      </c>
      <c r="B7" s="831"/>
      <c r="C7" s="760" t="s">
        <v>823</v>
      </c>
      <c r="D7" s="761"/>
      <c r="E7" s="761"/>
      <c r="F7" s="761"/>
      <c r="G7" s="762"/>
      <c r="H7" s="753" t="s">
        <v>676</v>
      </c>
      <c r="I7" s="756"/>
      <c r="J7" s="756"/>
      <c r="K7" s="756"/>
      <c r="L7" s="754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33"/>
      <c r="K8" s="533"/>
      <c r="L8" s="534"/>
    </row>
    <row r="9" spans="1:16" ht="22.5" customHeight="1" x14ac:dyDescent="0.25">
      <c r="A9" s="50" t="s">
        <v>102</v>
      </c>
      <c r="B9" s="855" t="s">
        <v>677</v>
      </c>
      <c r="C9" s="856"/>
      <c r="D9" s="774" t="s">
        <v>795</v>
      </c>
      <c r="E9" s="774"/>
      <c r="F9" s="774"/>
      <c r="G9" s="774"/>
      <c r="H9" s="774"/>
      <c r="I9" s="774" t="s">
        <v>455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828</v>
      </c>
      <c r="C10" s="721"/>
      <c r="D10" s="742">
        <f>D12+D13+D14+F15</f>
        <v>817.05</v>
      </c>
      <c r="E10" s="742"/>
      <c r="F10" s="742"/>
      <c r="G10" s="742"/>
      <c r="H10" s="742"/>
      <c r="I10" s="742">
        <f>I12+I13+I14+I15+I16+I17+I18+I19</f>
        <v>531.33943396226414</v>
      </c>
      <c r="J10" s="742"/>
      <c r="K10" s="742"/>
      <c r="L10" s="743"/>
      <c r="O10" s="235"/>
    </row>
    <row r="11" spans="1:16" x14ac:dyDescent="0.25">
      <c r="A11" s="65"/>
      <c r="B11" s="735" t="s">
        <v>106</v>
      </c>
      <c r="C11" s="735"/>
      <c r="D11" s="526"/>
      <c r="E11" s="736"/>
      <c r="F11" s="736"/>
      <c r="G11" s="736"/>
      <c r="H11" s="736"/>
      <c r="I11" s="736"/>
      <c r="J11" s="68"/>
      <c r="K11" s="68"/>
      <c r="L11" s="69"/>
    </row>
    <row r="12" spans="1:16" x14ac:dyDescent="0.25">
      <c r="A12" s="65"/>
      <c r="B12" s="735" t="s">
        <v>107</v>
      </c>
      <c r="C12" s="735"/>
      <c r="D12" s="736">
        <f>C29</f>
        <v>817.05</v>
      </c>
      <c r="E12" s="736"/>
      <c r="F12" s="736"/>
      <c r="G12" s="736"/>
      <c r="H12" s="736"/>
      <c r="I12" s="736">
        <f>H29</f>
        <v>128.46698113207546</v>
      </c>
      <c r="J12" s="736"/>
      <c r="K12" s="736"/>
      <c r="L12" s="773"/>
    </row>
    <row r="13" spans="1:16" x14ac:dyDescent="0.25">
      <c r="A13" s="65"/>
      <c r="B13" s="735" t="s">
        <v>108</v>
      </c>
      <c r="C13" s="735"/>
      <c r="D13" s="736">
        <f>D29</f>
        <v>0</v>
      </c>
      <c r="E13" s="736"/>
      <c r="F13" s="736"/>
      <c r="G13" s="736"/>
      <c r="H13" s="736"/>
      <c r="I13" s="736">
        <f>I29</f>
        <v>0</v>
      </c>
      <c r="J13" s="736"/>
      <c r="K13" s="736"/>
      <c r="L13" s="773"/>
      <c r="P13" s="53"/>
    </row>
    <row r="14" spans="1:16" x14ac:dyDescent="0.25">
      <c r="A14" s="65"/>
      <c r="B14" s="735" t="s">
        <v>109</v>
      </c>
      <c r="C14" s="735"/>
      <c r="D14" s="736">
        <f>E29</f>
        <v>0</v>
      </c>
      <c r="E14" s="736"/>
      <c r="F14" s="736"/>
      <c r="G14" s="736"/>
      <c r="H14" s="736"/>
      <c r="I14" s="736">
        <f>J29</f>
        <v>0</v>
      </c>
      <c r="J14" s="736"/>
      <c r="K14" s="736"/>
      <c r="L14" s="773"/>
    </row>
    <row r="15" spans="1:16" x14ac:dyDescent="0.25">
      <c r="A15" s="65"/>
      <c r="B15" s="527" t="s">
        <v>110</v>
      </c>
      <c r="C15" s="527"/>
      <c r="D15" s="736">
        <f>F29</f>
        <v>0</v>
      </c>
      <c r="E15" s="736"/>
      <c r="F15" s="736">
        <f>F29</f>
        <v>0</v>
      </c>
      <c r="G15" s="736"/>
      <c r="H15" s="736"/>
      <c r="I15" s="736">
        <f>K29</f>
        <v>0</v>
      </c>
      <c r="J15" s="736"/>
      <c r="K15" s="736"/>
      <c r="L15" s="773"/>
    </row>
    <row r="16" spans="1:16" x14ac:dyDescent="0.25">
      <c r="A16" s="65"/>
      <c r="B16" s="527" t="s">
        <v>785</v>
      </c>
      <c r="C16" s="527"/>
      <c r="D16" s="526"/>
      <c r="E16" s="526"/>
      <c r="F16" s="526"/>
      <c r="G16" s="526"/>
      <c r="H16" s="526"/>
      <c r="I16" s="736">
        <f>(I12+I13)*0.041</f>
        <v>5.2671462264150941</v>
      </c>
      <c r="J16" s="736"/>
      <c r="K16" s="736"/>
      <c r="L16" s="773"/>
    </row>
    <row r="17" spans="1:13" x14ac:dyDescent="0.25">
      <c r="A17" s="65"/>
      <c r="B17" s="527" t="s">
        <v>797</v>
      </c>
      <c r="C17" s="527"/>
      <c r="D17" s="526"/>
      <c r="E17" s="526"/>
      <c r="F17" s="526"/>
      <c r="G17" s="526"/>
      <c r="H17" s="526"/>
      <c r="I17" s="736">
        <f>(I12+I13)*0.027</f>
        <v>3.4686084905660373</v>
      </c>
      <c r="J17" s="736"/>
      <c r="K17" s="736"/>
      <c r="L17" s="773"/>
    </row>
    <row r="18" spans="1:13" x14ac:dyDescent="0.25">
      <c r="A18" s="65"/>
      <c r="B18" s="527"/>
      <c r="C18" s="527"/>
      <c r="D18" s="526"/>
      <c r="E18" s="526"/>
      <c r="F18" s="526"/>
      <c r="G18" s="526"/>
      <c r="H18" s="526"/>
      <c r="I18" s="736">
        <f>(I12+I13)*1</f>
        <v>128.46698113207546</v>
      </c>
      <c r="J18" s="736"/>
      <c r="K18" s="736"/>
      <c r="L18" s="773"/>
    </row>
    <row r="19" spans="1:13" x14ac:dyDescent="0.25">
      <c r="A19" s="65"/>
      <c r="B19" s="527"/>
      <c r="C19" s="527"/>
      <c r="D19" s="526"/>
      <c r="E19" s="526"/>
      <c r="F19" s="526"/>
      <c r="G19" s="526"/>
      <c r="H19" s="526"/>
      <c r="I19" s="736">
        <f>(I12+I15+I16+I17+I18+I14+I13)*1</f>
        <v>265.66971698113207</v>
      </c>
      <c r="J19" s="736"/>
      <c r="K19" s="736"/>
      <c r="L19" s="773"/>
    </row>
    <row r="20" spans="1:13" s="578" customFormat="1" x14ac:dyDescent="0.25">
      <c r="A20" s="576"/>
      <c r="B20" s="571" t="s">
        <v>796</v>
      </c>
      <c r="C20" s="571"/>
      <c r="D20" s="600"/>
      <c r="E20" s="600"/>
      <c r="F20" s="600"/>
      <c r="G20" s="600"/>
      <c r="H20" s="600"/>
      <c r="I20" s="600"/>
      <c r="J20" s="825">
        <f>I10*1.1152</f>
        <v>592.54973675471695</v>
      </c>
      <c r="K20" s="825"/>
      <c r="L20" s="577"/>
      <c r="M20" s="578">
        <v>1.1152</v>
      </c>
    </row>
    <row r="21" spans="1:13" x14ac:dyDescent="0.25">
      <c r="A21" s="65"/>
      <c r="B21" s="735" t="s">
        <v>454</v>
      </c>
      <c r="C21" s="735"/>
      <c r="D21" s="736"/>
      <c r="E21" s="736"/>
      <c r="F21" s="736"/>
      <c r="G21" s="736"/>
      <c r="H21" s="736"/>
      <c r="I21" s="132"/>
      <c r="J21" s="101">
        <f>J20</f>
        <v>592.54973675471695</v>
      </c>
      <c r="K21" s="132"/>
      <c r="L21" s="133"/>
    </row>
    <row r="22" spans="1:13" x14ac:dyDescent="0.25">
      <c r="A22" s="50"/>
      <c r="B22" s="52"/>
      <c r="C22" s="52"/>
      <c r="D22" s="52"/>
      <c r="E22" s="52"/>
      <c r="F22" s="52"/>
      <c r="G22" s="52"/>
      <c r="H22" s="52"/>
      <c r="I22" s="857"/>
      <c r="J22" s="857"/>
      <c r="K22" s="857"/>
      <c r="L22" s="858"/>
    </row>
    <row r="23" spans="1:13" x14ac:dyDescent="0.25">
      <c r="A23" s="720" t="s">
        <v>821</v>
      </c>
      <c r="B23" s="721"/>
      <c r="C23" s="721"/>
      <c r="D23" s="721"/>
      <c r="E23" s="721"/>
      <c r="F23" s="721"/>
      <c r="G23" s="721"/>
      <c r="H23" s="721"/>
      <c r="I23" s="721"/>
      <c r="J23" s="721"/>
      <c r="K23" s="721"/>
      <c r="L23" s="722"/>
    </row>
    <row r="24" spans="1:13" ht="13.5" customHeight="1" x14ac:dyDescent="0.25">
      <c r="A24" s="723" t="s">
        <v>112</v>
      </c>
      <c r="B24" s="726" t="s">
        <v>113</v>
      </c>
      <c r="C24" s="729" t="s">
        <v>99</v>
      </c>
      <c r="D24" s="730"/>
      <c r="E24" s="730"/>
      <c r="F24" s="730"/>
      <c r="G24" s="731"/>
      <c r="H24" s="729" t="s">
        <v>100</v>
      </c>
      <c r="I24" s="730"/>
      <c r="J24" s="730"/>
      <c r="K24" s="730"/>
      <c r="L24" s="731"/>
    </row>
    <row r="25" spans="1:13" ht="33" customHeight="1" x14ac:dyDescent="0.25">
      <c r="A25" s="724"/>
      <c r="B25" s="727"/>
      <c r="C25" s="835"/>
      <c r="D25" s="836"/>
      <c r="E25" s="836"/>
      <c r="F25" s="836"/>
      <c r="G25" s="837"/>
      <c r="H25" s="732" t="s">
        <v>678</v>
      </c>
      <c r="I25" s="733"/>
      <c r="J25" s="733"/>
      <c r="K25" s="733"/>
      <c r="L25" s="734"/>
    </row>
    <row r="26" spans="1:13" x14ac:dyDescent="0.25">
      <c r="A26" s="725"/>
      <c r="B26" s="728"/>
      <c r="C26" s="72" t="s">
        <v>114</v>
      </c>
      <c r="D26" s="529" t="s">
        <v>115</v>
      </c>
      <c r="E26" s="529" t="s">
        <v>116</v>
      </c>
      <c r="F26" s="529" t="s">
        <v>13</v>
      </c>
      <c r="G26" s="530" t="s">
        <v>117</v>
      </c>
      <c r="H26" s="72" t="s">
        <v>114</v>
      </c>
      <c r="I26" s="529" t="s">
        <v>115</v>
      </c>
      <c r="J26" s="529" t="s">
        <v>116</v>
      </c>
      <c r="K26" s="529" t="s">
        <v>13</v>
      </c>
      <c r="L26" s="530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s="84" customFormat="1" ht="27" customHeight="1" x14ac:dyDescent="0.25">
      <c r="A28" s="238" t="s">
        <v>118</v>
      </c>
      <c r="B28" s="239" t="s">
        <v>827</v>
      </c>
      <c r="C28" s="240">
        <f>817.05</f>
        <v>817.05</v>
      </c>
      <c r="D28" s="241">
        <v>0</v>
      </c>
      <c r="E28" s="241">
        <v>0</v>
      </c>
      <c r="F28" s="241"/>
      <c r="G28" s="242">
        <f t="shared" ref="G28" si="0">F28+E28+D28+C28</f>
        <v>817.05</v>
      </c>
      <c r="H28" s="240">
        <f>C28/6.36</f>
        <v>128.46698113207546</v>
      </c>
      <c r="I28" s="241">
        <f>D28/5.5</f>
        <v>0</v>
      </c>
      <c r="J28" s="241">
        <f>E28/5.5</f>
        <v>0</v>
      </c>
      <c r="K28" s="241">
        <f>F28/29.3</f>
        <v>0</v>
      </c>
      <c r="L28" s="242">
        <f>K28+J28+I28+H28</f>
        <v>128.46698113207546</v>
      </c>
    </row>
    <row r="29" spans="1:13" s="53" customFormat="1" ht="21.75" customHeight="1" x14ac:dyDescent="0.25">
      <c r="A29" s="90"/>
      <c r="B29" s="91" t="s">
        <v>122</v>
      </c>
      <c r="C29" s="92">
        <f>C28</f>
        <v>817.05</v>
      </c>
      <c r="D29" s="93">
        <f t="shared" ref="D29:L29" si="1">D28</f>
        <v>0</v>
      </c>
      <c r="E29" s="93">
        <f t="shared" si="1"/>
        <v>0</v>
      </c>
      <c r="F29" s="93">
        <f t="shared" si="1"/>
        <v>0</v>
      </c>
      <c r="G29" s="94">
        <f t="shared" si="1"/>
        <v>817.05</v>
      </c>
      <c r="H29" s="92">
        <f>H28</f>
        <v>128.46698113207546</v>
      </c>
      <c r="I29" s="93">
        <f t="shared" si="1"/>
        <v>0</v>
      </c>
      <c r="J29" s="93">
        <f t="shared" si="1"/>
        <v>0</v>
      </c>
      <c r="K29" s="93">
        <f t="shared" si="1"/>
        <v>0</v>
      </c>
      <c r="L29" s="94">
        <f t="shared" si="1"/>
        <v>128.46698113207546</v>
      </c>
    </row>
    <row r="30" spans="1:13" s="53" customFormat="1" x14ac:dyDescent="0.25">
      <c r="A30" s="127"/>
      <c r="B30" s="128"/>
      <c r="C30" s="129"/>
      <c r="D30" s="130"/>
      <c r="E30" s="130"/>
      <c r="F30" s="130"/>
      <c r="G30" s="131"/>
      <c r="H30" s="129"/>
      <c r="I30" s="130"/>
      <c r="J30" s="130"/>
      <c r="K30" s="130"/>
      <c r="L30" s="131"/>
    </row>
    <row r="31" spans="1:13" s="53" customFormat="1" ht="33.75" customHeight="1" x14ac:dyDescent="0.25">
      <c r="A31" s="828" t="s">
        <v>10</v>
      </c>
      <c r="B31" s="829"/>
      <c r="C31" s="829"/>
      <c r="D31" s="829"/>
      <c r="E31" s="829"/>
      <c r="F31" s="829"/>
      <c r="G31" s="829"/>
      <c r="H31" s="829"/>
      <c r="I31" s="829"/>
      <c r="J31" s="829"/>
      <c r="K31" s="829"/>
      <c r="L31" s="829"/>
    </row>
    <row r="32" spans="1:13" ht="27" customHeight="1" x14ac:dyDescent="0.25">
      <c r="A32" s="50" t="s">
        <v>20</v>
      </c>
      <c r="B32" s="854"/>
      <c r="C32" s="854"/>
      <c r="D32" s="854"/>
      <c r="E32" s="854"/>
      <c r="F32" s="854"/>
      <c r="G32" s="854"/>
      <c r="H32" s="854"/>
      <c r="I32" s="854"/>
      <c r="J32" s="854"/>
      <c r="K32" s="854"/>
      <c r="L32" s="854"/>
    </row>
    <row r="33" spans="1:16" ht="13.5" customHeight="1" x14ac:dyDescent="0.25">
      <c r="A33" s="54" t="s">
        <v>97</v>
      </c>
      <c r="B33" s="830" t="s">
        <v>98</v>
      </c>
      <c r="C33" s="757" t="s">
        <v>833</v>
      </c>
      <c r="D33" s="758"/>
      <c r="E33" s="758"/>
      <c r="F33" s="758"/>
      <c r="G33" s="759"/>
      <c r="H33" s="751" t="s">
        <v>100</v>
      </c>
      <c r="I33" s="755"/>
      <c r="J33" s="755"/>
      <c r="K33" s="755"/>
      <c r="L33" s="752"/>
    </row>
    <row r="34" spans="1:16" ht="45" customHeight="1" x14ac:dyDescent="0.25">
      <c r="A34" s="55" t="s">
        <v>19</v>
      </c>
      <c r="B34" s="831"/>
      <c r="C34" s="760"/>
      <c r="D34" s="761"/>
      <c r="E34" s="761"/>
      <c r="F34" s="761"/>
      <c r="G34" s="762"/>
      <c r="H34" s="753" t="s">
        <v>10</v>
      </c>
      <c r="I34" s="756"/>
      <c r="J34" s="756"/>
      <c r="K34" s="756"/>
      <c r="L34" s="754"/>
    </row>
    <row r="35" spans="1:16" x14ac:dyDescent="0.25">
      <c r="A35" s="56">
        <v>1</v>
      </c>
      <c r="B35" s="737" t="s">
        <v>101</v>
      </c>
      <c r="C35" s="737"/>
      <c r="D35" s="57"/>
      <c r="E35" s="57"/>
      <c r="F35" s="57"/>
      <c r="G35" s="57"/>
      <c r="H35" s="57"/>
      <c r="I35" s="58"/>
      <c r="J35" s="236"/>
      <c r="K35" s="236"/>
      <c r="L35" s="237"/>
    </row>
    <row r="36" spans="1:16" ht="22.5" customHeight="1" x14ac:dyDescent="0.25">
      <c r="A36" s="50" t="s">
        <v>102</v>
      </c>
      <c r="B36" s="855" t="s">
        <v>453</v>
      </c>
      <c r="C36" s="856"/>
      <c r="D36" s="774" t="s">
        <v>795</v>
      </c>
      <c r="E36" s="774"/>
      <c r="F36" s="774"/>
      <c r="G36" s="774"/>
      <c r="H36" s="774"/>
      <c r="I36" s="774" t="s">
        <v>455</v>
      </c>
      <c r="J36" s="774"/>
      <c r="K36" s="774"/>
      <c r="L36" s="775"/>
    </row>
    <row r="37" spans="1:16" ht="33.75" customHeight="1" x14ac:dyDescent="0.25">
      <c r="A37" s="64">
        <v>2</v>
      </c>
      <c r="B37" s="741" t="s">
        <v>832</v>
      </c>
      <c r="C37" s="721"/>
      <c r="D37" s="742">
        <f>D39+D40+D41+F42</f>
        <v>10624.504999999999</v>
      </c>
      <c r="E37" s="742"/>
      <c r="F37" s="742"/>
      <c r="G37" s="742"/>
      <c r="H37" s="742"/>
      <c r="I37" s="742">
        <f>I39+I40+I41+I42+I43+I44+I45</f>
        <v>390.89475733788396</v>
      </c>
      <c r="J37" s="742"/>
      <c r="K37" s="742"/>
      <c r="L37" s="743"/>
      <c r="O37" s="235"/>
    </row>
    <row r="38" spans="1:16" x14ac:dyDescent="0.25">
      <c r="A38" s="65"/>
      <c r="B38" s="735" t="s">
        <v>106</v>
      </c>
      <c r="C38" s="735"/>
      <c r="D38" s="231"/>
      <c r="E38" s="736"/>
      <c r="F38" s="736"/>
      <c r="G38" s="736"/>
      <c r="H38" s="736"/>
      <c r="I38" s="736"/>
      <c r="J38" s="68"/>
      <c r="K38" s="68"/>
      <c r="L38" s="69"/>
    </row>
    <row r="39" spans="1:16" x14ac:dyDescent="0.25">
      <c r="A39" s="65"/>
      <c r="B39" s="735" t="s">
        <v>107</v>
      </c>
      <c r="C39" s="735"/>
      <c r="D39" s="736">
        <f>C58</f>
        <v>10624.504999999999</v>
      </c>
      <c r="E39" s="736"/>
      <c r="F39" s="736"/>
      <c r="G39" s="736"/>
      <c r="H39" s="736"/>
      <c r="I39" s="736">
        <f>H58</f>
        <v>362.61109215017063</v>
      </c>
      <c r="J39" s="736"/>
      <c r="K39" s="736"/>
      <c r="L39" s="773"/>
    </row>
    <row r="40" spans="1:16" x14ac:dyDescent="0.25">
      <c r="A40" s="65"/>
      <c r="B40" s="735" t="s">
        <v>108</v>
      </c>
      <c r="C40" s="735"/>
      <c r="D40" s="736">
        <f>D58</f>
        <v>0</v>
      </c>
      <c r="E40" s="736"/>
      <c r="F40" s="736"/>
      <c r="G40" s="736"/>
      <c r="H40" s="736"/>
      <c r="I40" s="736">
        <f>I58</f>
        <v>0</v>
      </c>
      <c r="J40" s="736"/>
      <c r="K40" s="736"/>
      <c r="L40" s="773"/>
      <c r="P40" s="53"/>
    </row>
    <row r="41" spans="1:16" x14ac:dyDescent="0.25">
      <c r="A41" s="65"/>
      <c r="B41" s="735" t="s">
        <v>109</v>
      </c>
      <c r="C41" s="735"/>
      <c r="D41" s="736">
        <f>E58</f>
        <v>0</v>
      </c>
      <c r="E41" s="736"/>
      <c r="F41" s="736"/>
      <c r="G41" s="736"/>
      <c r="H41" s="736"/>
      <c r="I41" s="736">
        <f>J58</f>
        <v>0</v>
      </c>
      <c r="J41" s="736"/>
      <c r="K41" s="736"/>
      <c r="L41" s="773"/>
    </row>
    <row r="42" spans="1:16" x14ac:dyDescent="0.25">
      <c r="A42" s="65"/>
      <c r="B42" s="232" t="s">
        <v>110</v>
      </c>
      <c r="C42" s="232"/>
      <c r="D42" s="736">
        <f>F58</f>
        <v>0</v>
      </c>
      <c r="E42" s="736"/>
      <c r="F42" s="736">
        <f>F58</f>
        <v>0</v>
      </c>
      <c r="G42" s="736"/>
      <c r="H42" s="736"/>
      <c r="I42" s="736">
        <f>K58</f>
        <v>0</v>
      </c>
      <c r="J42" s="736"/>
      <c r="K42" s="736"/>
      <c r="L42" s="773"/>
    </row>
    <row r="43" spans="1:16" x14ac:dyDescent="0.25">
      <c r="A43" s="65"/>
      <c r="B43" s="232" t="s">
        <v>785</v>
      </c>
      <c r="C43" s="232"/>
      <c r="D43" s="231"/>
      <c r="E43" s="231"/>
      <c r="F43" s="231"/>
      <c r="G43" s="231"/>
      <c r="H43" s="231"/>
      <c r="I43" s="736">
        <f>(I39+I40)*0.041</f>
        <v>14.867054778156996</v>
      </c>
      <c r="J43" s="736"/>
      <c r="K43" s="736"/>
      <c r="L43" s="773"/>
    </row>
    <row r="44" spans="1:16" x14ac:dyDescent="0.25">
      <c r="A44" s="65"/>
      <c r="B44" s="232" t="s">
        <v>798</v>
      </c>
      <c r="C44" s="232"/>
      <c r="D44" s="231"/>
      <c r="E44" s="231"/>
      <c r="F44" s="231"/>
      <c r="G44" s="231"/>
      <c r="H44" s="231"/>
      <c r="I44" s="736">
        <f>(I39+I40)*0.027</f>
        <v>9.790499488054607</v>
      </c>
      <c r="J44" s="736"/>
      <c r="K44" s="736"/>
      <c r="L44" s="773"/>
    </row>
    <row r="45" spans="1:16" x14ac:dyDescent="0.25">
      <c r="A45" s="65"/>
      <c r="B45" s="232"/>
      <c r="C45" s="232"/>
      <c r="D45" s="231"/>
      <c r="E45" s="231"/>
      <c r="F45" s="231"/>
      <c r="G45" s="231"/>
      <c r="H45" s="231"/>
      <c r="I45" s="736">
        <f>(I39+I40)*0.01</f>
        <v>3.6261109215017062</v>
      </c>
      <c r="J45" s="736"/>
      <c r="K45" s="736"/>
      <c r="L45" s="773"/>
    </row>
    <row r="46" spans="1:16" x14ac:dyDescent="0.25">
      <c r="A46" s="65"/>
      <c r="B46" s="232"/>
      <c r="C46" s="232"/>
      <c r="D46" s="231"/>
      <c r="E46" s="231"/>
      <c r="F46" s="231"/>
      <c r="G46" s="231"/>
      <c r="H46" s="231"/>
      <c r="I46" s="736"/>
      <c r="J46" s="736"/>
      <c r="K46" s="736"/>
      <c r="L46" s="773"/>
    </row>
    <row r="47" spans="1:16" s="578" customFormat="1" x14ac:dyDescent="0.25">
      <c r="A47" s="576"/>
      <c r="B47" s="571" t="s">
        <v>796</v>
      </c>
      <c r="C47" s="571"/>
      <c r="D47" s="562"/>
      <c r="E47" s="562"/>
      <c r="F47" s="562"/>
      <c r="G47" s="562"/>
      <c r="H47" s="562"/>
      <c r="I47" s="562"/>
      <c r="J47" s="825">
        <f>I37*M47</f>
        <v>435.92583338320816</v>
      </c>
      <c r="K47" s="825"/>
      <c r="L47" s="577"/>
      <c r="M47" s="578">
        <f>M20</f>
        <v>1.1152</v>
      </c>
    </row>
    <row r="48" spans="1:16" x14ac:dyDescent="0.25">
      <c r="A48" s="65"/>
      <c r="B48" s="735" t="s">
        <v>454</v>
      </c>
      <c r="C48" s="735"/>
      <c r="D48" s="852"/>
      <c r="E48" s="852"/>
      <c r="F48" s="852"/>
      <c r="G48" s="852"/>
      <c r="H48" s="852"/>
      <c r="I48" s="563"/>
      <c r="J48" s="101">
        <f>J47</f>
        <v>435.92583338320816</v>
      </c>
      <c r="K48" s="132"/>
      <c r="L48" s="133"/>
    </row>
    <row r="49" spans="1:12" x14ac:dyDescent="0.25">
      <c r="A49" s="50"/>
      <c r="B49" s="52"/>
      <c r="C49" s="52"/>
      <c r="D49" s="52"/>
      <c r="E49" s="52"/>
      <c r="F49" s="52"/>
      <c r="G49" s="52"/>
      <c r="H49" s="52"/>
      <c r="I49" s="857"/>
      <c r="J49" s="857"/>
      <c r="K49" s="857"/>
      <c r="L49" s="858"/>
    </row>
    <row r="50" spans="1:12" x14ac:dyDescent="0.25">
      <c r="A50" s="720" t="s">
        <v>821</v>
      </c>
      <c r="B50" s="721"/>
      <c r="C50" s="721"/>
      <c r="D50" s="721"/>
      <c r="E50" s="721"/>
      <c r="F50" s="721"/>
      <c r="G50" s="721"/>
      <c r="H50" s="721"/>
      <c r="I50" s="721"/>
      <c r="J50" s="721"/>
      <c r="K50" s="721"/>
      <c r="L50" s="722"/>
    </row>
    <row r="51" spans="1:12" ht="13.5" customHeight="1" x14ac:dyDescent="0.25">
      <c r="A51" s="723" t="s">
        <v>112</v>
      </c>
      <c r="B51" s="726" t="s">
        <v>113</v>
      </c>
      <c r="C51" s="729" t="s">
        <v>99</v>
      </c>
      <c r="D51" s="730"/>
      <c r="E51" s="730"/>
      <c r="F51" s="730"/>
      <c r="G51" s="731"/>
      <c r="H51" s="729" t="s">
        <v>100</v>
      </c>
      <c r="I51" s="730"/>
      <c r="J51" s="730"/>
      <c r="K51" s="730"/>
      <c r="L51" s="731"/>
    </row>
    <row r="52" spans="1:12" ht="33" customHeight="1" x14ac:dyDescent="0.25">
      <c r="A52" s="724"/>
      <c r="B52" s="727"/>
      <c r="C52" s="760"/>
      <c r="D52" s="761"/>
      <c r="E52" s="761"/>
      <c r="F52" s="761"/>
      <c r="G52" s="762"/>
      <c r="H52" s="732" t="s">
        <v>10</v>
      </c>
      <c r="I52" s="733"/>
      <c r="J52" s="733"/>
      <c r="K52" s="733"/>
      <c r="L52" s="734"/>
    </row>
    <row r="53" spans="1:12" x14ac:dyDescent="0.25">
      <c r="A53" s="725"/>
      <c r="B53" s="728"/>
      <c r="C53" s="72" t="s">
        <v>114</v>
      </c>
      <c r="D53" s="233" t="s">
        <v>115</v>
      </c>
      <c r="E53" s="233" t="s">
        <v>116</v>
      </c>
      <c r="F53" s="233" t="s">
        <v>13</v>
      </c>
      <c r="G53" s="234" t="s">
        <v>117</v>
      </c>
      <c r="H53" s="72" t="s">
        <v>114</v>
      </c>
      <c r="I53" s="233" t="s">
        <v>115</v>
      </c>
      <c r="J53" s="233" t="s">
        <v>116</v>
      </c>
      <c r="K53" s="233" t="s">
        <v>13</v>
      </c>
      <c r="L53" s="234" t="s">
        <v>117</v>
      </c>
    </row>
    <row r="54" spans="1:12" x14ac:dyDescent="0.25">
      <c r="A54" s="75" t="s">
        <v>118</v>
      </c>
      <c r="B54" s="76">
        <v>2</v>
      </c>
      <c r="C54" s="77">
        <v>3</v>
      </c>
      <c r="D54" s="78">
        <v>4</v>
      </c>
      <c r="E54" s="78">
        <v>5</v>
      </c>
      <c r="F54" s="78">
        <v>6</v>
      </c>
      <c r="G54" s="76">
        <v>7</v>
      </c>
      <c r="H54" s="77">
        <v>8</v>
      </c>
      <c r="I54" s="78">
        <v>9</v>
      </c>
      <c r="J54" s="78">
        <v>10</v>
      </c>
      <c r="K54" s="78">
        <v>11</v>
      </c>
      <c r="L54" s="76">
        <v>12</v>
      </c>
    </row>
    <row r="55" spans="1:12" s="84" customFormat="1" ht="27" customHeight="1" x14ac:dyDescent="0.25">
      <c r="A55" s="238" t="s">
        <v>118</v>
      </c>
      <c r="B55" s="239" t="s">
        <v>829</v>
      </c>
      <c r="C55" s="240">
        <f>10624.505</f>
        <v>10624.504999999999</v>
      </c>
      <c r="D55" s="241">
        <v>0</v>
      </c>
      <c r="E55" s="241">
        <v>0</v>
      </c>
      <c r="F55" s="241">
        <v>0</v>
      </c>
      <c r="G55" s="242">
        <f t="shared" ref="G55:G57" si="2">F55+E55+D55+C55</f>
        <v>10624.504999999999</v>
      </c>
      <c r="H55" s="240">
        <f>C55/29.3</f>
        <v>362.61109215017063</v>
      </c>
      <c r="I55" s="241">
        <f t="shared" ref="I55:I57" si="3">D55/29.3</f>
        <v>0</v>
      </c>
      <c r="J55" s="241">
        <f t="shared" ref="J55:J57" si="4">E55/29.3</f>
        <v>0</v>
      </c>
      <c r="K55" s="241">
        <f t="shared" ref="K55:K57" si="5">F55/29.3</f>
        <v>0</v>
      </c>
      <c r="L55" s="242">
        <f t="shared" ref="L55:L57" si="6">K55+J55+I55+H55</f>
        <v>362.61109215017063</v>
      </c>
    </row>
    <row r="56" spans="1:12" s="84" customFormat="1" ht="27" customHeight="1" x14ac:dyDescent="0.25">
      <c r="A56" s="556" t="s">
        <v>172</v>
      </c>
      <c r="B56" s="557" t="s">
        <v>830</v>
      </c>
      <c r="C56" s="558"/>
      <c r="D56" s="559"/>
      <c r="E56" s="559">
        <v>0</v>
      </c>
      <c r="F56" s="559">
        <v>0</v>
      </c>
      <c r="G56" s="242">
        <f t="shared" si="2"/>
        <v>0</v>
      </c>
      <c r="H56" s="558">
        <f>C56/29.3</f>
        <v>0</v>
      </c>
      <c r="I56" s="559">
        <f>D56/29.3</f>
        <v>0</v>
      </c>
      <c r="J56" s="559">
        <f t="shared" si="4"/>
        <v>0</v>
      </c>
      <c r="K56" s="559">
        <f t="shared" si="5"/>
        <v>0</v>
      </c>
      <c r="L56" s="242">
        <f t="shared" si="6"/>
        <v>0</v>
      </c>
    </row>
    <row r="57" spans="1:12" s="84" customFormat="1" ht="27" customHeight="1" x14ac:dyDescent="0.25">
      <c r="A57" s="556" t="s">
        <v>120</v>
      </c>
      <c r="B57" s="557" t="s">
        <v>831</v>
      </c>
      <c r="C57" s="558"/>
      <c r="D57" s="559">
        <v>0</v>
      </c>
      <c r="E57" s="559">
        <v>0</v>
      </c>
      <c r="F57" s="559"/>
      <c r="G57" s="242">
        <f t="shared" si="2"/>
        <v>0</v>
      </c>
      <c r="H57" s="558">
        <f>C57/29.3</f>
        <v>0</v>
      </c>
      <c r="I57" s="559">
        <f t="shared" si="3"/>
        <v>0</v>
      </c>
      <c r="J57" s="559">
        <f t="shared" si="4"/>
        <v>0</v>
      </c>
      <c r="K57" s="559">
        <f t="shared" si="5"/>
        <v>0</v>
      </c>
      <c r="L57" s="242">
        <f t="shared" si="6"/>
        <v>0</v>
      </c>
    </row>
    <row r="58" spans="1:12" s="53" customFormat="1" ht="21.75" customHeight="1" x14ac:dyDescent="0.25">
      <c r="A58" s="90"/>
      <c r="B58" s="91" t="s">
        <v>122</v>
      </c>
      <c r="C58" s="92">
        <f>SUM(C55:C57)</f>
        <v>10624.504999999999</v>
      </c>
      <c r="D58" s="93">
        <f t="shared" ref="D58:L58" si="7">SUM(D55:D57)</f>
        <v>0</v>
      </c>
      <c r="E58" s="93">
        <f t="shared" si="7"/>
        <v>0</v>
      </c>
      <c r="F58" s="93">
        <f t="shared" si="7"/>
        <v>0</v>
      </c>
      <c r="G58" s="94">
        <f t="shared" si="7"/>
        <v>10624.504999999999</v>
      </c>
      <c r="H58" s="92">
        <f t="shared" si="7"/>
        <v>362.61109215017063</v>
      </c>
      <c r="I58" s="93">
        <f t="shared" si="7"/>
        <v>0</v>
      </c>
      <c r="J58" s="93">
        <f t="shared" si="7"/>
        <v>0</v>
      </c>
      <c r="K58" s="93">
        <f t="shared" si="7"/>
        <v>0</v>
      </c>
      <c r="L58" s="94">
        <f t="shared" si="7"/>
        <v>362.61109215017063</v>
      </c>
    </row>
    <row r="59" spans="1:12" s="53" customFormat="1" x14ac:dyDescent="0.25">
      <c r="A59" s="127"/>
      <c r="B59" s="128"/>
      <c r="C59" s="129"/>
      <c r="D59" s="130"/>
      <c r="E59" s="130"/>
      <c r="F59" s="130"/>
      <c r="G59" s="131"/>
      <c r="H59" s="129"/>
      <c r="I59" s="130"/>
      <c r="J59" s="130"/>
      <c r="K59" s="130"/>
      <c r="L59" s="131"/>
    </row>
    <row r="60" spans="1:12" x14ac:dyDescent="0.25">
      <c r="A60" s="95"/>
      <c r="B60" s="96"/>
      <c r="C60" s="97"/>
      <c r="D60" s="97"/>
      <c r="E60" s="97"/>
      <c r="F60" s="97"/>
      <c r="G60" s="97"/>
      <c r="H60" s="97"/>
      <c r="I60" s="97"/>
      <c r="J60" s="97"/>
      <c r="K60" s="97"/>
      <c r="L60" s="98"/>
    </row>
  </sheetData>
  <mergeCells count="85">
    <mergeCell ref="A23:L23"/>
    <mergeCell ref="A24:A26"/>
    <mergeCell ref="B24:B26"/>
    <mergeCell ref="C24:G24"/>
    <mergeCell ref="H24:L24"/>
    <mergeCell ref="C25:G25"/>
    <mergeCell ref="H25:L25"/>
    <mergeCell ref="I19:L19"/>
    <mergeCell ref="J20:K20"/>
    <mergeCell ref="B21:C21"/>
    <mergeCell ref="D21:H21"/>
    <mergeCell ref="I22:L22"/>
    <mergeCell ref="D15:H15"/>
    <mergeCell ref="I15:L15"/>
    <mergeCell ref="I16:L16"/>
    <mergeCell ref="I17:L17"/>
    <mergeCell ref="I18:L18"/>
    <mergeCell ref="B13:C13"/>
    <mergeCell ref="D13:H13"/>
    <mergeCell ref="I13:L13"/>
    <mergeCell ref="B14:C14"/>
    <mergeCell ref="D14:H14"/>
    <mergeCell ref="I14:L14"/>
    <mergeCell ref="B11:C11"/>
    <mergeCell ref="E11:I11"/>
    <mergeCell ref="B12:C12"/>
    <mergeCell ref="D12:H12"/>
    <mergeCell ref="I12:L12"/>
    <mergeCell ref="B9:C9"/>
    <mergeCell ref="D9:H9"/>
    <mergeCell ref="I9:L9"/>
    <mergeCell ref="B10:C10"/>
    <mergeCell ref="D10:H10"/>
    <mergeCell ref="I10:L10"/>
    <mergeCell ref="I45:L45"/>
    <mergeCell ref="I46:L46"/>
    <mergeCell ref="J47:K47"/>
    <mergeCell ref="I49:L49"/>
    <mergeCell ref="A50:L50"/>
    <mergeCell ref="B48:C48"/>
    <mergeCell ref="D48:H48"/>
    <mergeCell ref="A51:A53"/>
    <mergeCell ref="B51:B53"/>
    <mergeCell ref="C51:G51"/>
    <mergeCell ref="H51:L51"/>
    <mergeCell ref="C52:G52"/>
    <mergeCell ref="H52:L52"/>
    <mergeCell ref="I43:L43"/>
    <mergeCell ref="I44:L44"/>
    <mergeCell ref="B38:C38"/>
    <mergeCell ref="E38:I38"/>
    <mergeCell ref="B39:C39"/>
    <mergeCell ref="D39:H39"/>
    <mergeCell ref="I39:L39"/>
    <mergeCell ref="B40:C40"/>
    <mergeCell ref="D40:H40"/>
    <mergeCell ref="I40:L40"/>
    <mergeCell ref="B41:C41"/>
    <mergeCell ref="D41:H41"/>
    <mergeCell ref="I41:L41"/>
    <mergeCell ref="D42:H42"/>
    <mergeCell ref="I42:L42"/>
    <mergeCell ref="B35:C35"/>
    <mergeCell ref="B36:C36"/>
    <mergeCell ref="D36:H36"/>
    <mergeCell ref="I36:L36"/>
    <mergeCell ref="B37:C37"/>
    <mergeCell ref="D37:H37"/>
    <mergeCell ref="I37:L37"/>
    <mergeCell ref="C33:G34"/>
    <mergeCell ref="A1:L1"/>
    <mergeCell ref="A3:L3"/>
    <mergeCell ref="A31:L31"/>
    <mergeCell ref="B32:L32"/>
    <mergeCell ref="B33:B34"/>
    <mergeCell ref="H33:L33"/>
    <mergeCell ref="H34:L34"/>
    <mergeCell ref="A4:L4"/>
    <mergeCell ref="B5:L5"/>
    <mergeCell ref="B6:B7"/>
    <mergeCell ref="C6:G6"/>
    <mergeCell ref="H6:L6"/>
    <mergeCell ref="C7:G7"/>
    <mergeCell ref="H7:L7"/>
    <mergeCell ref="B8:C8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80"/>
  <sheetViews>
    <sheetView view="pageBreakPreview" topLeftCell="A127" zoomScale="90" zoomScaleNormal="100" zoomScaleSheetLayoutView="90" workbookViewId="0">
      <selection activeCell="B161" sqref="B161"/>
    </sheetView>
  </sheetViews>
  <sheetFormatPr defaultColWidth="9.140625" defaultRowHeight="15" outlineLevelCol="1" x14ac:dyDescent="0.25"/>
  <cols>
    <col min="1" max="1" width="35.85546875" style="311" customWidth="1"/>
    <col min="2" max="2" width="17.140625" style="311" customWidth="1"/>
    <col min="3" max="3" width="12.5703125" style="311" customWidth="1"/>
    <col min="4" max="4" width="20.140625" style="311" customWidth="1"/>
    <col min="5" max="5" width="19.5703125" style="311" customWidth="1"/>
    <col min="6" max="7" width="19.5703125" style="311" hidden="1" customWidth="1" outlineLevel="1"/>
    <col min="8" max="8" width="20.140625" style="311" customWidth="1" collapsed="1"/>
    <col min="9" max="9" width="22.85546875" style="311" customWidth="1"/>
    <col min="10" max="10" width="16.5703125" style="311" customWidth="1"/>
    <col min="11" max="11" width="10.7109375" style="311" customWidth="1"/>
    <col min="12" max="16384" width="9.140625" style="311"/>
  </cols>
  <sheetData>
    <row r="1" spans="1:9" ht="18.75" x14ac:dyDescent="0.25">
      <c r="A1" s="704" t="s">
        <v>473</v>
      </c>
      <c r="B1" s="704"/>
      <c r="C1" s="704"/>
      <c r="D1" s="704"/>
      <c r="E1" s="704"/>
      <c r="F1" s="704"/>
      <c r="G1" s="704"/>
      <c r="H1" s="704"/>
    </row>
    <row r="2" spans="1:9" x14ac:dyDescent="0.25">
      <c r="A2" s="704" t="s">
        <v>474</v>
      </c>
      <c r="B2" s="705"/>
      <c r="C2" s="705"/>
      <c r="D2" s="705"/>
      <c r="E2" s="705"/>
      <c r="F2" s="705"/>
      <c r="G2" s="705"/>
      <c r="H2" s="705"/>
      <c r="I2" s="566"/>
    </row>
    <row r="3" spans="1:9" ht="38.25" customHeight="1" x14ac:dyDescent="0.25">
      <c r="A3" s="706" t="s">
        <v>758</v>
      </c>
      <c r="B3" s="706"/>
      <c r="C3" s="706"/>
      <c r="D3" s="706"/>
      <c r="E3" s="706"/>
      <c r="F3" s="706"/>
      <c r="G3" s="706"/>
      <c r="H3" s="706"/>
    </row>
    <row r="4" spans="1:9" ht="125.25" customHeight="1" x14ac:dyDescent="0.25">
      <c r="A4" s="707"/>
      <c r="B4" s="707"/>
      <c r="C4" s="707"/>
      <c r="D4" s="707"/>
      <c r="E4" s="707"/>
      <c r="F4" s="707"/>
      <c r="G4" s="707"/>
      <c r="H4" s="707"/>
    </row>
    <row r="5" spans="1:9" s="334" customFormat="1" ht="17.25" customHeight="1" x14ac:dyDescent="0.2">
      <c r="A5" s="708" t="s">
        <v>684</v>
      </c>
      <c r="B5" s="709"/>
      <c r="C5" s="709"/>
      <c r="D5" s="709"/>
      <c r="E5" s="709"/>
      <c r="F5" s="709"/>
      <c r="G5" s="709"/>
      <c r="H5" s="709"/>
    </row>
    <row r="6" spans="1:9" s="334" customFormat="1" ht="17.25" customHeight="1" x14ac:dyDescent="0.35">
      <c r="A6" s="692" t="s">
        <v>759</v>
      </c>
      <c r="B6" s="693"/>
      <c r="C6" s="693"/>
      <c r="D6" s="693"/>
      <c r="E6" s="693"/>
      <c r="F6" s="693"/>
      <c r="G6" s="693"/>
      <c r="H6" s="693"/>
      <c r="I6" s="598"/>
    </row>
    <row r="7" spans="1:9" s="334" customFormat="1" ht="17.25" customHeight="1" x14ac:dyDescent="0.2">
      <c r="A7" s="542" t="s">
        <v>760</v>
      </c>
      <c r="B7" s="636"/>
      <c r="C7" s="636"/>
      <c r="D7" s="636"/>
      <c r="E7" s="636"/>
      <c r="F7" s="636"/>
      <c r="G7" s="636"/>
      <c r="H7" s="636"/>
    </row>
    <row r="8" spans="1:9" s="541" customFormat="1" ht="17.25" customHeight="1" x14ac:dyDescent="0.2">
      <c r="A8" s="702" t="s">
        <v>761</v>
      </c>
      <c r="B8" s="703"/>
      <c r="C8" s="703"/>
      <c r="D8" s="703"/>
      <c r="E8" s="703"/>
      <c r="F8" s="703"/>
      <c r="G8" s="703"/>
      <c r="H8" s="703"/>
    </row>
    <row r="9" spans="1:9" s="334" customFormat="1" ht="17.25" customHeight="1" x14ac:dyDescent="0.2">
      <c r="A9" s="692" t="s">
        <v>681</v>
      </c>
      <c r="B9" s="693"/>
      <c r="C9" s="693"/>
      <c r="D9" s="693"/>
      <c r="E9" s="693"/>
      <c r="F9" s="693"/>
      <c r="G9" s="693"/>
      <c r="H9" s="693"/>
    </row>
    <row r="10" spans="1:9" s="334" customFormat="1" ht="17.25" customHeight="1" x14ac:dyDescent="0.2">
      <c r="A10" s="692" t="s">
        <v>682</v>
      </c>
      <c r="B10" s="693"/>
      <c r="C10" s="693"/>
      <c r="D10" s="693"/>
      <c r="E10" s="693"/>
      <c r="F10" s="693"/>
      <c r="G10" s="693"/>
      <c r="H10" s="693"/>
    </row>
    <row r="11" spans="1:9" s="334" customFormat="1" ht="17.25" customHeight="1" x14ac:dyDescent="0.2">
      <c r="A11" s="692" t="s">
        <v>683</v>
      </c>
      <c r="B11" s="693"/>
      <c r="C11" s="693"/>
      <c r="D11" s="693"/>
      <c r="E11" s="693"/>
      <c r="F11" s="693"/>
      <c r="G11" s="693"/>
      <c r="H11" s="693"/>
    </row>
    <row r="12" spans="1:9" s="541" customFormat="1" ht="15" customHeight="1" x14ac:dyDescent="0.2">
      <c r="A12" s="637" t="s">
        <v>762</v>
      </c>
      <c r="B12" s="638"/>
      <c r="C12" s="638"/>
      <c r="D12" s="638"/>
      <c r="E12" s="638"/>
      <c r="F12" s="638"/>
      <c r="G12" s="638"/>
      <c r="H12" s="638"/>
    </row>
    <row r="13" spans="1:9" s="334" customFormat="1" ht="17.25" customHeight="1" x14ac:dyDescent="0.2">
      <c r="A13" s="692" t="s">
        <v>768</v>
      </c>
      <c r="B13" s="693"/>
      <c r="C13" s="693"/>
      <c r="D13" s="693"/>
      <c r="E13" s="693"/>
      <c r="F13" s="693"/>
      <c r="G13" s="693"/>
      <c r="H13" s="693"/>
    </row>
    <row r="14" spans="1:9" s="334" customFormat="1" ht="17.25" customHeight="1" x14ac:dyDescent="0.2">
      <c r="A14" s="692" t="s">
        <v>768</v>
      </c>
      <c r="B14" s="693"/>
      <c r="C14" s="693"/>
      <c r="D14" s="693"/>
      <c r="E14" s="693"/>
      <c r="F14" s="693"/>
      <c r="G14" s="693"/>
      <c r="H14" s="693"/>
    </row>
    <row r="15" spans="1:9" s="334" customFormat="1" ht="17.25" customHeight="1" x14ac:dyDescent="0.2">
      <c r="A15" s="692" t="s">
        <v>768</v>
      </c>
      <c r="B15" s="693"/>
      <c r="C15" s="693"/>
      <c r="D15" s="693"/>
      <c r="E15" s="693"/>
      <c r="F15" s="693"/>
      <c r="G15" s="693"/>
      <c r="H15" s="693"/>
    </row>
    <row r="16" spans="1:9" s="334" customFormat="1" ht="17.25" customHeight="1" x14ac:dyDescent="0.2">
      <c r="A16" s="692" t="s">
        <v>768</v>
      </c>
      <c r="B16" s="693"/>
      <c r="C16" s="693"/>
      <c r="D16" s="693"/>
      <c r="E16" s="693"/>
      <c r="F16" s="693"/>
      <c r="G16" s="693"/>
      <c r="H16" s="693"/>
    </row>
    <row r="17" spans="1:10" s="334" customFormat="1" ht="17.25" customHeight="1" x14ac:dyDescent="0.2">
      <c r="A17" s="692" t="s">
        <v>768</v>
      </c>
      <c r="B17" s="693"/>
      <c r="C17" s="693"/>
      <c r="D17" s="693"/>
      <c r="E17" s="693"/>
      <c r="F17" s="693"/>
      <c r="G17" s="693"/>
      <c r="H17" s="693"/>
    </row>
    <row r="18" spans="1:10" s="334" customFormat="1" ht="17.25" customHeight="1" x14ac:dyDescent="0.2">
      <c r="A18" s="692" t="s">
        <v>768</v>
      </c>
      <c r="B18" s="693"/>
      <c r="C18" s="693"/>
      <c r="D18" s="693"/>
      <c r="E18" s="693"/>
      <c r="F18" s="693"/>
      <c r="G18" s="693"/>
      <c r="H18" s="693"/>
    </row>
    <row r="19" spans="1:10" s="334" customFormat="1" ht="17.25" customHeight="1" x14ac:dyDescent="0.2">
      <c r="A19" s="692" t="s">
        <v>768</v>
      </c>
      <c r="B19" s="693"/>
      <c r="C19" s="693"/>
      <c r="D19" s="693"/>
      <c r="E19" s="693"/>
      <c r="F19" s="693"/>
      <c r="G19" s="693"/>
      <c r="H19" s="693"/>
    </row>
    <row r="20" spans="1:10" s="334" customFormat="1" ht="17.25" customHeight="1" x14ac:dyDescent="0.2">
      <c r="A20" s="692" t="s">
        <v>768</v>
      </c>
      <c r="B20" s="693"/>
      <c r="C20" s="693"/>
      <c r="D20" s="693"/>
      <c r="E20" s="693"/>
      <c r="F20" s="693"/>
      <c r="G20" s="693"/>
      <c r="H20" s="693"/>
    </row>
    <row r="21" spans="1:10" s="334" customFormat="1" ht="17.25" customHeight="1" x14ac:dyDescent="0.2">
      <c r="A21" s="692" t="s">
        <v>768</v>
      </c>
      <c r="B21" s="693"/>
      <c r="C21" s="693"/>
      <c r="D21" s="693"/>
      <c r="E21" s="693"/>
      <c r="F21" s="693"/>
      <c r="G21" s="693"/>
      <c r="H21" s="693"/>
    </row>
    <row r="22" spans="1:10" s="334" customFormat="1" ht="17.25" customHeight="1" x14ac:dyDescent="0.2">
      <c r="A22" s="692" t="s">
        <v>768</v>
      </c>
      <c r="B22" s="693"/>
      <c r="C22" s="693"/>
      <c r="D22" s="693"/>
      <c r="E22" s="693"/>
      <c r="F22" s="693"/>
      <c r="G22" s="693"/>
      <c r="H22" s="693"/>
    </row>
    <row r="23" spans="1:10" s="334" customFormat="1" ht="17.25" customHeight="1" x14ac:dyDescent="0.2">
      <c r="A23" s="635"/>
      <c r="B23" s="636"/>
      <c r="C23" s="636"/>
      <c r="D23" s="636"/>
      <c r="E23" s="636"/>
      <c r="F23" s="636"/>
      <c r="G23" s="636"/>
      <c r="H23" s="636"/>
    </row>
    <row r="24" spans="1:10" ht="33.75" customHeight="1" x14ac:dyDescent="0.25">
      <c r="A24" s="697" t="s">
        <v>767</v>
      </c>
      <c r="B24" s="698"/>
      <c r="C24" s="698"/>
      <c r="D24" s="698"/>
      <c r="E24" s="698"/>
      <c r="F24" s="698"/>
      <c r="G24" s="698"/>
      <c r="H24" s="698"/>
      <c r="I24" s="312"/>
      <c r="J24" s="312"/>
    </row>
    <row r="25" spans="1:10" ht="123.75" customHeight="1" x14ac:dyDescent="0.25">
      <c r="A25" s="314" t="s">
        <v>475</v>
      </c>
      <c r="B25" s="314" t="s">
        <v>749</v>
      </c>
      <c r="C25" s="314" t="s">
        <v>476</v>
      </c>
      <c r="D25" s="314" t="s">
        <v>746</v>
      </c>
      <c r="E25" s="314" t="s">
        <v>477</v>
      </c>
      <c r="F25" s="314" t="s">
        <v>478</v>
      </c>
      <c r="G25" s="315">
        <v>0.05</v>
      </c>
      <c r="H25" s="314" t="s">
        <v>478</v>
      </c>
      <c r="I25" s="312"/>
      <c r="J25" s="312"/>
    </row>
    <row r="26" spans="1:10" s="500" customFormat="1" ht="54.75" customHeight="1" x14ac:dyDescent="0.25">
      <c r="A26" s="318" t="s">
        <v>716</v>
      </c>
      <c r="B26" s="497"/>
      <c r="C26" s="497"/>
      <c r="D26" s="319" t="e">
        <f>D28+D27</f>
        <v>#REF!</v>
      </c>
      <c r="E26" s="497"/>
      <c r="F26" s="319" t="e">
        <f>F28+F27</f>
        <v>#REF!</v>
      </c>
      <c r="G26" s="497"/>
      <c r="H26" s="319" t="e">
        <f>H28+H27</f>
        <v>#REF!</v>
      </c>
      <c r="I26" s="499"/>
      <c r="J26" s="499"/>
    </row>
    <row r="27" spans="1:10" s="339" customFormat="1" ht="37.5" customHeight="1" x14ac:dyDescent="0.25">
      <c r="A27" s="335" t="s">
        <v>480</v>
      </c>
      <c r="B27" s="341"/>
      <c r="C27" s="341"/>
      <c r="D27" s="336" t="e">
        <f>'расчет 2 эт ПИР'!C10</f>
        <v>#REF!</v>
      </c>
      <c r="E27" s="337">
        <v>1</v>
      </c>
      <c r="F27" s="336" t="e">
        <f>ROUND(D27*E27,0)</f>
        <v>#REF!</v>
      </c>
      <c r="G27" s="337"/>
      <c r="H27" s="336" t="e">
        <f>ROUND(D27*E27,0)</f>
        <v>#REF!</v>
      </c>
      <c r="I27" s="338"/>
      <c r="J27" s="338"/>
    </row>
    <row r="28" spans="1:10" s="339" customFormat="1" ht="30.75" customHeight="1" x14ac:dyDescent="0.25">
      <c r="A28" s="335" t="s">
        <v>710</v>
      </c>
      <c r="B28" s="341"/>
      <c r="C28" s="341"/>
      <c r="D28" s="336" t="e">
        <f>'расчет 2 эт ПИР'!C11</f>
        <v>#REF!</v>
      </c>
      <c r="E28" s="337">
        <v>1</v>
      </c>
      <c r="F28" s="336" t="e">
        <f>ROUND(D28*E28,0)</f>
        <v>#REF!</v>
      </c>
      <c r="G28" s="337"/>
      <c r="H28" s="336" t="e">
        <f>ROUND(D28*E28,0)</f>
        <v>#REF!</v>
      </c>
      <c r="I28" s="338"/>
      <c r="J28" s="338"/>
    </row>
    <row r="29" spans="1:10" s="500" customFormat="1" ht="21" customHeight="1" x14ac:dyDescent="0.25">
      <c r="A29" s="318" t="s">
        <v>718</v>
      </c>
      <c r="B29" s="497"/>
      <c r="C29" s="501"/>
      <c r="D29" s="319" t="e">
        <f>ROUND(D28*0.0265,2)</f>
        <v>#REF!</v>
      </c>
      <c r="E29" s="501">
        <v>1</v>
      </c>
      <c r="F29" s="319" t="e">
        <f>ROUND(D29*E29,0)</f>
        <v>#REF!</v>
      </c>
      <c r="G29" s="502"/>
      <c r="H29" s="319" t="e">
        <f>ROUND(D29*E29,0)</f>
        <v>#REF!</v>
      </c>
      <c r="I29" s="499"/>
      <c r="J29" s="499"/>
    </row>
    <row r="30" spans="1:10" s="500" customFormat="1" ht="28.5" x14ac:dyDescent="0.25">
      <c r="A30" s="318" t="s">
        <v>719</v>
      </c>
      <c r="B30" s="497"/>
      <c r="C30" s="501"/>
      <c r="D30" s="319"/>
      <c r="E30" s="501"/>
      <c r="F30" s="319"/>
      <c r="G30" s="502"/>
      <c r="H30" s="319" t="e">
        <f>ROUND((H31)*0.0015,0)</f>
        <v>#REF!</v>
      </c>
      <c r="I30" s="499"/>
      <c r="J30" s="499"/>
    </row>
    <row r="31" spans="1:10" s="500" customFormat="1" ht="46.5" customHeight="1" x14ac:dyDescent="0.25">
      <c r="A31" s="318" t="s">
        <v>717</v>
      </c>
      <c r="B31" s="319" t="e">
        <f>B32+B33+B34</f>
        <v>#REF!</v>
      </c>
      <c r="C31" s="497"/>
      <c r="D31" s="319" t="e">
        <f>D32+D33+D34</f>
        <v>#REF!</v>
      </c>
      <c r="E31" s="497"/>
      <c r="F31" s="319" t="e">
        <f>F32+F33+F34</f>
        <v>#REF!</v>
      </c>
      <c r="G31" s="497"/>
      <c r="H31" s="319" t="e">
        <f>H32+H33+H34</f>
        <v>#REF!</v>
      </c>
      <c r="I31" s="618"/>
      <c r="J31" s="499"/>
    </row>
    <row r="32" spans="1:10" s="339" customFormat="1" ht="64.5" customHeight="1" x14ac:dyDescent="0.25">
      <c r="A32" s="335" t="s">
        <v>757</v>
      </c>
      <c r="B32" s="336" t="e">
        <f>#REF!*1000</f>
        <v>#REF!</v>
      </c>
      <c r="C32" s="475">
        <f>I43</f>
        <v>1.0264</v>
      </c>
      <c r="D32" s="336" t="e">
        <f>ROUND(B32*C32,0)</f>
        <v>#REF!</v>
      </c>
      <c r="E32" s="340">
        <f>I57</f>
        <v>1.0295000000000001</v>
      </c>
      <c r="F32" s="336" t="e">
        <f>ROUND(D32*E32,0)</f>
        <v>#REF!</v>
      </c>
      <c r="G32" s="336" t="e">
        <f t="shared" ref="G32:G33" si="0">ROUND(F32*0.05,0)</f>
        <v>#REF!</v>
      </c>
      <c r="H32" s="336" t="e">
        <f t="shared" ref="H32:H33" si="1">F32-G32</f>
        <v>#REF!</v>
      </c>
      <c r="I32" s="338"/>
      <c r="J32" s="338"/>
    </row>
    <row r="33" spans="1:12" s="339" customFormat="1" ht="25.5" customHeight="1" x14ac:dyDescent="0.25">
      <c r="A33" s="335" t="s">
        <v>481</v>
      </c>
      <c r="B33" s="336"/>
      <c r="C33" s="475"/>
      <c r="D33" s="336"/>
      <c r="E33" s="340"/>
      <c r="F33" s="336">
        <v>1282870</v>
      </c>
      <c r="G33" s="336">
        <f t="shared" si="0"/>
        <v>64144</v>
      </c>
      <c r="H33" s="336">
        <f t="shared" si="1"/>
        <v>1218726</v>
      </c>
      <c r="I33" s="338"/>
      <c r="J33" s="338"/>
    </row>
    <row r="34" spans="1:12" s="339" customFormat="1" ht="42" customHeight="1" x14ac:dyDescent="0.25">
      <c r="A34" s="335" t="s">
        <v>482</v>
      </c>
      <c r="B34" s="336"/>
      <c r="C34" s="475"/>
      <c r="D34" s="336"/>
      <c r="E34" s="337"/>
      <c r="F34" s="336"/>
      <c r="G34" s="336" t="e">
        <f>SUM(G32:G33)</f>
        <v>#REF!</v>
      </c>
      <c r="H34" s="336" t="e">
        <f>G34</f>
        <v>#REF!</v>
      </c>
      <c r="I34" s="338"/>
      <c r="J34" s="338"/>
    </row>
    <row r="35" spans="1:12" s="508" customFormat="1" ht="35.25" customHeight="1" x14ac:dyDescent="0.25">
      <c r="A35" s="503" t="s">
        <v>452</v>
      </c>
      <c r="B35" s="504" t="e">
        <f>B31+B29+B26+B30</f>
        <v>#REF!</v>
      </c>
      <c r="C35" s="512"/>
      <c r="D35" s="504" t="e">
        <f>D31+D29+D26+D30</f>
        <v>#REF!</v>
      </c>
      <c r="E35" s="506"/>
      <c r="F35" s="504" t="e">
        <f>F31+F29+F26+F30</f>
        <v>#REF!</v>
      </c>
      <c r="G35" s="504"/>
      <c r="H35" s="504" t="e">
        <f>H31+H29+H26+H30</f>
        <v>#REF!</v>
      </c>
      <c r="I35" s="507"/>
      <c r="J35" s="507"/>
    </row>
    <row r="36" spans="1:12" s="508" customFormat="1" ht="35.25" customHeight="1" x14ac:dyDescent="0.25">
      <c r="A36" s="503" t="s">
        <v>756</v>
      </c>
      <c r="B36" s="504"/>
      <c r="C36" s="512"/>
      <c r="D36" s="504"/>
      <c r="E36" s="506"/>
      <c r="F36" s="504"/>
      <c r="G36" s="504"/>
      <c r="H36" s="504" t="e">
        <f>ROUND(H35*0.976745,0)</f>
        <v>#REF!</v>
      </c>
      <c r="I36" s="507"/>
      <c r="J36" s="507"/>
    </row>
    <row r="37" spans="1:12" ht="35.25" customHeight="1" x14ac:dyDescent="0.25">
      <c r="A37" s="316" t="s">
        <v>46</v>
      </c>
      <c r="B37" s="317" t="e">
        <f>ROUND(B35*0.2,0)</f>
        <v>#REF!</v>
      </c>
      <c r="C37" s="476"/>
      <c r="D37" s="317" t="e">
        <f>ROUND(D35*0.2,0)</f>
        <v>#REF!</v>
      </c>
      <c r="E37" s="317"/>
      <c r="F37" s="317" t="e">
        <f>ROUND(F35*0.2,0)</f>
        <v>#REF!</v>
      </c>
      <c r="G37" s="317"/>
      <c r="H37" s="317" t="e">
        <f>ROUND(H36*0.2,0)</f>
        <v>#REF!</v>
      </c>
      <c r="I37" s="312"/>
      <c r="J37" s="312"/>
    </row>
    <row r="38" spans="1:12" s="508" customFormat="1" ht="35.25" customHeight="1" x14ac:dyDescent="0.25">
      <c r="A38" s="503" t="s">
        <v>479</v>
      </c>
      <c r="B38" s="504" t="e">
        <f>B35+B37</f>
        <v>#REF!</v>
      </c>
      <c r="C38" s="509"/>
      <c r="D38" s="504" t="e">
        <f>D35+D37</f>
        <v>#REF!</v>
      </c>
      <c r="E38" s="504"/>
      <c r="F38" s="504" t="e">
        <f>F35+F37</f>
        <v>#REF!</v>
      </c>
      <c r="G38" s="504"/>
      <c r="H38" s="504" t="e">
        <f>H36+H37</f>
        <v>#REF!</v>
      </c>
      <c r="I38" s="507"/>
      <c r="J38" s="507"/>
    </row>
    <row r="39" spans="1:12" s="508" customFormat="1" ht="21" customHeight="1" x14ac:dyDescent="0.25">
      <c r="A39" s="632"/>
      <c r="B39" s="633"/>
      <c r="C39" s="634"/>
      <c r="D39" s="633"/>
      <c r="E39" s="633"/>
      <c r="F39" s="633"/>
      <c r="G39" s="633"/>
      <c r="H39" s="633"/>
      <c r="I39" s="507"/>
      <c r="J39" s="507"/>
    </row>
    <row r="40" spans="1:12" s="345" customFormat="1" ht="17.25" customHeight="1" x14ac:dyDescent="0.25">
      <c r="A40" s="694" t="s">
        <v>662</v>
      </c>
      <c r="B40" s="695"/>
      <c r="C40" s="696"/>
      <c r="D40" s="696"/>
      <c r="E40" s="696"/>
      <c r="F40" s="696"/>
      <c r="G40" s="696"/>
      <c r="H40" s="696"/>
      <c r="I40" s="639"/>
      <c r="J40" s="639"/>
    </row>
    <row r="41" spans="1:12" s="345" customFormat="1" ht="17.25" customHeight="1" x14ac:dyDescent="0.25">
      <c r="A41" s="694" t="s">
        <v>648</v>
      </c>
      <c r="B41" s="695"/>
      <c r="C41" s="639"/>
      <c r="D41" s="639"/>
      <c r="E41" s="639"/>
      <c r="F41" s="639"/>
      <c r="G41" s="639"/>
      <c r="H41" s="639"/>
      <c r="I41" s="639"/>
      <c r="J41" s="639"/>
    </row>
    <row r="42" spans="1:12" customFormat="1" ht="21.95" customHeight="1" x14ac:dyDescent="0.25">
      <c r="A42" s="477" t="s">
        <v>738</v>
      </c>
      <c r="B42" s="607"/>
      <c r="C42" s="444"/>
      <c r="D42" s="444"/>
      <c r="E42" s="444"/>
      <c r="F42" s="444"/>
      <c r="G42" s="444"/>
      <c r="H42" s="444"/>
      <c r="I42" s="444"/>
      <c r="J42" s="444"/>
    </row>
    <row r="43" spans="1:12" s="345" customFormat="1" ht="17.25" customHeight="1" x14ac:dyDescent="0.25">
      <c r="A43" s="567" t="s">
        <v>739</v>
      </c>
      <c r="B43" s="639"/>
      <c r="C43" s="639"/>
      <c r="D43" s="639"/>
      <c r="E43" s="639"/>
      <c r="F43" s="639"/>
      <c r="G43" s="639"/>
      <c r="H43" s="639"/>
      <c r="I43" s="639">
        <f>ROUND(1*1.0052*1.0168*1.0042,4)</f>
        <v>1.0264</v>
      </c>
      <c r="J43" s="491" t="s">
        <v>11</v>
      </c>
    </row>
    <row r="44" spans="1:12" customFormat="1" ht="11.25" customHeight="1" x14ac:dyDescent="0.25">
      <c r="A44" s="699"/>
      <c r="B44" s="700"/>
      <c r="C44" s="444"/>
      <c r="D44" s="444"/>
      <c r="E44" s="444"/>
      <c r="F44" s="444"/>
      <c r="G44" s="444"/>
      <c r="H44" s="444"/>
      <c r="I44" s="444"/>
      <c r="J44" s="444"/>
    </row>
    <row r="45" spans="1:12" customFormat="1" ht="27" customHeight="1" x14ac:dyDescent="0.25">
      <c r="A45" s="701" t="s">
        <v>740</v>
      </c>
      <c r="B45" s="701"/>
      <c r="C45" s="701"/>
      <c r="D45" s="701"/>
      <c r="E45" s="701"/>
      <c r="F45" s="701"/>
      <c r="G45" s="701"/>
      <c r="H45" s="701"/>
      <c r="I45" s="444"/>
      <c r="J45" s="444"/>
    </row>
    <row r="46" spans="1:12" s="479" customFormat="1" x14ac:dyDescent="0.25">
      <c r="A46" s="486" t="s">
        <v>649</v>
      </c>
      <c r="B46" s="486"/>
      <c r="C46" s="487"/>
      <c r="D46" s="488"/>
      <c r="E46" s="488"/>
      <c r="F46" s="488"/>
      <c r="G46" s="488"/>
      <c r="H46" s="489"/>
      <c r="I46" s="474"/>
      <c r="J46" s="474"/>
    </row>
    <row r="47" spans="1:12" s="479" customFormat="1" x14ac:dyDescent="0.25">
      <c r="A47" s="486" t="s">
        <v>654</v>
      </c>
      <c r="B47" s="486"/>
      <c r="C47" s="487"/>
      <c r="D47" s="488"/>
      <c r="E47" s="488"/>
      <c r="F47" s="488"/>
      <c r="G47" s="488"/>
      <c r="H47" s="489"/>
      <c r="I47" s="474"/>
      <c r="J47" s="473">
        <f>(1-0.15)*0.5</f>
        <v>0.42499999999999999</v>
      </c>
      <c r="K47" s="479" t="s">
        <v>650</v>
      </c>
      <c r="L47" s="479" t="s">
        <v>651</v>
      </c>
    </row>
    <row r="48" spans="1:12" s="479" customFormat="1" x14ac:dyDescent="0.25">
      <c r="A48" s="486" t="s">
        <v>653</v>
      </c>
      <c r="B48" s="486"/>
      <c r="C48" s="487"/>
      <c r="D48" s="488"/>
      <c r="E48" s="488"/>
      <c r="F48" s="488"/>
      <c r="G48" s="488"/>
      <c r="H48" s="489"/>
      <c r="I48" s="474"/>
      <c r="J48" s="473">
        <f>(1-0.15)*0.5</f>
        <v>0.42499999999999999</v>
      </c>
      <c r="K48" s="479" t="s">
        <v>650</v>
      </c>
      <c r="L48" s="479" t="s">
        <v>652</v>
      </c>
    </row>
    <row r="49" spans="1:10" s="479" customFormat="1" x14ac:dyDescent="0.25">
      <c r="A49" s="486" t="s">
        <v>741</v>
      </c>
      <c r="B49" s="486"/>
      <c r="C49" s="487"/>
      <c r="D49" s="488"/>
      <c r="E49" s="488"/>
      <c r="F49" s="488"/>
      <c r="G49" s="488"/>
      <c r="H49" s="489"/>
      <c r="I49" s="474"/>
      <c r="J49" s="473"/>
    </row>
    <row r="50" spans="1:10" s="479" customFormat="1" x14ac:dyDescent="0.25">
      <c r="A50" s="486" t="s">
        <v>742</v>
      </c>
      <c r="B50" s="608">
        <v>1.036</v>
      </c>
      <c r="C50" s="487"/>
      <c r="D50" s="488"/>
      <c r="E50" s="488"/>
      <c r="F50" s="488"/>
      <c r="G50" s="488"/>
      <c r="H50" s="489"/>
      <c r="I50" s="474"/>
      <c r="J50" s="473"/>
    </row>
    <row r="51" spans="1:10" s="479" customFormat="1" x14ac:dyDescent="0.25">
      <c r="A51" s="486" t="s">
        <v>743</v>
      </c>
      <c r="B51" s="608">
        <v>1.0369999999999999</v>
      </c>
      <c r="C51" s="487"/>
      <c r="D51" s="488"/>
      <c r="E51" s="488"/>
      <c r="F51" s="488"/>
      <c r="G51" s="488"/>
      <c r="H51" s="489"/>
      <c r="I51" s="474"/>
      <c r="J51" s="473"/>
    </row>
    <row r="52" spans="1:10" s="479" customFormat="1" x14ac:dyDescent="0.25">
      <c r="A52" s="486" t="s">
        <v>744</v>
      </c>
      <c r="B52" s="608"/>
      <c r="C52" s="487"/>
      <c r="D52" s="488"/>
      <c r="E52" s="488"/>
      <c r="F52" s="488"/>
      <c r="G52" s="488"/>
      <c r="H52" s="489"/>
      <c r="I52" s="474"/>
      <c r="J52" s="473"/>
    </row>
    <row r="53" spans="1:10" s="479" customFormat="1" x14ac:dyDescent="0.25">
      <c r="A53" s="486" t="s">
        <v>742</v>
      </c>
      <c r="B53" s="609">
        <v>1.00295</v>
      </c>
      <c r="C53" s="487"/>
      <c r="D53" s="488"/>
      <c r="E53" s="488"/>
      <c r="F53" s="488"/>
      <c r="G53" s="488"/>
      <c r="H53" s="489"/>
      <c r="I53" s="474"/>
      <c r="J53" s="473"/>
    </row>
    <row r="54" spans="1:10" s="479" customFormat="1" x14ac:dyDescent="0.25">
      <c r="A54" s="486" t="s">
        <v>743</v>
      </c>
      <c r="B54" s="609">
        <v>1.0030300000000001</v>
      </c>
      <c r="C54" s="487"/>
      <c r="D54" s="488"/>
      <c r="E54" s="488"/>
      <c r="F54" s="488"/>
      <c r="G54" s="488"/>
      <c r="H54" s="489"/>
      <c r="I54" s="474"/>
      <c r="J54" s="473"/>
    </row>
    <row r="55" spans="1:10" s="479" customFormat="1" x14ac:dyDescent="0.25">
      <c r="A55" s="480" t="s">
        <v>745</v>
      </c>
      <c r="B55" s="481"/>
      <c r="C55" s="481"/>
      <c r="D55" s="482"/>
      <c r="E55" s="482"/>
      <c r="F55" s="482"/>
      <c r="G55" s="482"/>
      <c r="H55" s="483"/>
      <c r="I55" s="474">
        <f>ROUND((1.00295^6+1.00295^11)/2,4)</f>
        <v>1.0254000000000001</v>
      </c>
      <c r="J55" s="484"/>
    </row>
    <row r="56" spans="1:10" s="479" customFormat="1" x14ac:dyDescent="0.25">
      <c r="A56" s="480" t="s">
        <v>747</v>
      </c>
      <c r="B56" s="481"/>
      <c r="C56" s="481"/>
      <c r="D56" s="482"/>
      <c r="E56" s="482"/>
      <c r="F56" s="482"/>
      <c r="G56" s="482"/>
      <c r="H56" s="483"/>
      <c r="I56" s="474">
        <f>ROUND(1.00295^11*(1.00303+1.00303^6)/2,4)</f>
        <v>1.044</v>
      </c>
      <c r="J56" s="485"/>
    </row>
    <row r="57" spans="1:10" s="479" customFormat="1" x14ac:dyDescent="0.25">
      <c r="A57" s="480" t="s">
        <v>748</v>
      </c>
      <c r="B57" s="486"/>
      <c r="C57" s="486"/>
      <c r="D57" s="488"/>
      <c r="E57" s="488"/>
      <c r="F57" s="488"/>
      <c r="G57" s="488"/>
      <c r="H57" s="489"/>
      <c r="I57" s="615">
        <f>ROUND(0.15*1+0.425*1.0254+0.425*1.044,4)</f>
        <v>1.0295000000000001</v>
      </c>
      <c r="J57" s="478"/>
    </row>
    <row r="58" spans="1:10" s="479" customFormat="1" x14ac:dyDescent="0.25">
      <c r="A58" s="490"/>
      <c r="B58" s="488"/>
      <c r="C58" s="482"/>
      <c r="D58" s="482"/>
      <c r="E58" s="482"/>
      <c r="F58" s="482"/>
      <c r="G58" s="482"/>
      <c r="H58" s="474"/>
      <c r="I58" s="474"/>
      <c r="J58" s="478"/>
    </row>
    <row r="59" spans="1:10" s="479" customFormat="1" x14ac:dyDescent="0.25">
      <c r="A59" s="494" t="s">
        <v>663</v>
      </c>
      <c r="B59" s="495"/>
      <c r="C59" s="474"/>
      <c r="D59" s="474"/>
      <c r="E59" s="474"/>
      <c r="F59" s="474"/>
      <c r="G59" s="474"/>
      <c r="H59" s="474"/>
      <c r="I59" s="474"/>
      <c r="J59" s="473"/>
    </row>
    <row r="60" spans="1:10" s="479" customFormat="1" x14ac:dyDescent="0.25">
      <c r="A60" s="494" t="s">
        <v>655</v>
      </c>
      <c r="B60" s="495"/>
      <c r="C60" s="474"/>
      <c r="D60" s="474"/>
      <c r="E60" s="474"/>
      <c r="F60" s="474"/>
      <c r="G60" s="474"/>
      <c r="H60" s="474"/>
      <c r="I60" s="474"/>
      <c r="J60" s="473"/>
    </row>
    <row r="61" spans="1:10" s="479" customFormat="1" x14ac:dyDescent="0.25">
      <c r="A61" s="486" t="s">
        <v>658</v>
      </c>
      <c r="B61" s="495"/>
      <c r="C61" s="474"/>
      <c r="D61" s="474"/>
      <c r="E61" s="474"/>
      <c r="F61" s="474"/>
      <c r="G61" s="474"/>
      <c r="H61" s="474"/>
      <c r="I61" s="492">
        <f>174.13/1.2*183*24*1</f>
        <v>637315.80000000005</v>
      </c>
      <c r="J61" s="492"/>
    </row>
    <row r="62" spans="1:10" s="479" customFormat="1" x14ac:dyDescent="0.25">
      <c r="A62" s="494" t="s">
        <v>656</v>
      </c>
      <c r="B62" s="495"/>
      <c r="C62" s="474"/>
      <c r="D62" s="474"/>
      <c r="E62" s="474"/>
      <c r="F62" s="474"/>
      <c r="G62" s="474"/>
      <c r="H62" s="474"/>
      <c r="I62" s="474"/>
      <c r="J62" s="485"/>
    </row>
    <row r="63" spans="1:10" s="479" customFormat="1" x14ac:dyDescent="0.25">
      <c r="A63" s="486" t="s">
        <v>659</v>
      </c>
      <c r="B63" s="495"/>
      <c r="C63" s="474"/>
      <c r="D63" s="474"/>
      <c r="E63" s="474"/>
      <c r="F63" s="474"/>
      <c r="G63" s="474"/>
      <c r="H63" s="474"/>
      <c r="I63" s="492">
        <f>177.35/1.2*1*24*182</f>
        <v>645554</v>
      </c>
      <c r="J63" s="492"/>
    </row>
    <row r="64" spans="1:10" s="479" customFormat="1" x14ac:dyDescent="0.25">
      <c r="A64" s="486" t="s">
        <v>664</v>
      </c>
      <c r="B64" s="495"/>
      <c r="C64" s="474"/>
      <c r="D64" s="474"/>
      <c r="E64" s="474"/>
      <c r="F64" s="474"/>
      <c r="G64" s="474"/>
      <c r="H64" s="474"/>
      <c r="I64" s="496">
        <f ca="1">SUM(I61:I64)</f>
        <v>37077502959.592041</v>
      </c>
      <c r="J64" s="493"/>
    </row>
    <row r="65" spans="1:10" ht="15.75" x14ac:dyDescent="0.25">
      <c r="A65" s="320"/>
      <c r="B65" s="320"/>
      <c r="C65" s="321"/>
      <c r="D65" s="322"/>
      <c r="E65" s="322"/>
      <c r="F65" s="322"/>
      <c r="G65" s="322"/>
      <c r="H65" s="323"/>
      <c r="I65" s="312"/>
      <c r="J65" s="312"/>
    </row>
    <row r="66" spans="1:10" ht="38.25" customHeight="1" x14ac:dyDescent="0.25">
      <c r="A66" s="697" t="s">
        <v>772</v>
      </c>
      <c r="B66" s="698"/>
      <c r="C66" s="698"/>
      <c r="D66" s="698"/>
      <c r="E66" s="698"/>
      <c r="F66" s="698"/>
      <c r="G66" s="698"/>
      <c r="H66" s="698"/>
      <c r="I66" s="312"/>
      <c r="J66" s="312"/>
    </row>
    <row r="67" spans="1:10" ht="123.75" customHeight="1" x14ac:dyDescent="0.25">
      <c r="A67" s="314" t="s">
        <v>475</v>
      </c>
      <c r="B67" s="314" t="s">
        <v>749</v>
      </c>
      <c r="C67" s="314" t="s">
        <v>476</v>
      </c>
      <c r="D67" s="314" t="s">
        <v>746</v>
      </c>
      <c r="E67" s="314" t="s">
        <v>477</v>
      </c>
      <c r="F67" s="314" t="s">
        <v>478</v>
      </c>
      <c r="G67" s="315">
        <v>0.05</v>
      </c>
      <c r="H67" s="314" t="s">
        <v>478</v>
      </c>
      <c r="I67" s="312"/>
      <c r="J67" s="312"/>
    </row>
    <row r="68" spans="1:10" s="500" customFormat="1" ht="54.75" customHeight="1" x14ac:dyDescent="0.25">
      <c r="A68" s="318" t="s">
        <v>716</v>
      </c>
      <c r="B68" s="497"/>
      <c r="C68" s="498"/>
      <c r="D68" s="319" t="e">
        <f>D70+D69</f>
        <v>#REF!</v>
      </c>
      <c r="E68" s="497"/>
      <c r="F68" s="319" t="e">
        <f>F70+F69</f>
        <v>#REF!</v>
      </c>
      <c r="G68" s="497"/>
      <c r="H68" s="319" t="e">
        <f>H70+H69</f>
        <v>#REF!</v>
      </c>
      <c r="I68" s="499"/>
      <c r="J68" s="499"/>
    </row>
    <row r="69" spans="1:10" s="339" customFormat="1" ht="37.5" customHeight="1" x14ac:dyDescent="0.25">
      <c r="A69" s="335" t="s">
        <v>480</v>
      </c>
      <c r="B69" s="341"/>
      <c r="C69" s="475"/>
      <c r="D69" s="336" t="e">
        <f>'расчет 1 эт ПИР'!C10</f>
        <v>#REF!</v>
      </c>
      <c r="E69" s="337">
        <v>1</v>
      </c>
      <c r="F69" s="336" t="e">
        <f>ROUND(D69*E69,0)</f>
        <v>#REF!</v>
      </c>
      <c r="G69" s="337"/>
      <c r="H69" s="336" t="e">
        <f>ROUND(D69*E69,0)</f>
        <v>#REF!</v>
      </c>
      <c r="I69" s="338"/>
      <c r="J69" s="338"/>
    </row>
    <row r="70" spans="1:10" s="339" customFormat="1" ht="30.75" customHeight="1" x14ac:dyDescent="0.25">
      <c r="A70" s="335" t="s">
        <v>710</v>
      </c>
      <c r="B70" s="341"/>
      <c r="C70" s="475"/>
      <c r="D70" s="336" t="e">
        <f>'расчет 1 эт ПИР'!C11</f>
        <v>#REF!</v>
      </c>
      <c r="E70" s="337">
        <v>1</v>
      </c>
      <c r="F70" s="336" t="e">
        <f>ROUND(D70*E70,0)</f>
        <v>#REF!</v>
      </c>
      <c r="G70" s="337"/>
      <c r="H70" s="336" t="e">
        <f>ROUND(D70*E70,0)</f>
        <v>#REF!</v>
      </c>
      <c r="I70" s="338"/>
      <c r="J70" s="338"/>
    </row>
    <row r="71" spans="1:10" s="500" customFormat="1" ht="21" customHeight="1" x14ac:dyDescent="0.25">
      <c r="A71" s="318" t="s">
        <v>718</v>
      </c>
      <c r="B71" s="497"/>
      <c r="C71" s="498"/>
      <c r="D71" s="319" t="e">
        <f>ROUND(D70*0.0265,2)</f>
        <v>#REF!</v>
      </c>
      <c r="E71" s="501">
        <v>1</v>
      </c>
      <c r="F71" s="319" t="e">
        <f>ROUND(D71*E71,0)</f>
        <v>#REF!</v>
      </c>
      <c r="G71" s="502"/>
      <c r="H71" s="319" t="e">
        <f>ROUND(D71*E71,0)</f>
        <v>#REF!</v>
      </c>
      <c r="I71" s="499"/>
      <c r="J71" s="499"/>
    </row>
    <row r="72" spans="1:10" s="500" customFormat="1" ht="30.75" customHeight="1" x14ac:dyDescent="0.25">
      <c r="A72" s="318" t="s">
        <v>719</v>
      </c>
      <c r="B72" s="497"/>
      <c r="C72" s="501"/>
      <c r="D72" s="319"/>
      <c r="E72" s="501"/>
      <c r="F72" s="319"/>
      <c r="G72" s="502"/>
      <c r="H72" s="319" t="e">
        <f>ROUND((H73)*0.0015,0)</f>
        <v>#REF!</v>
      </c>
      <c r="I72" s="617"/>
      <c r="J72" s="499"/>
    </row>
    <row r="73" spans="1:10" s="500" customFormat="1" ht="44.25" customHeight="1" x14ac:dyDescent="0.25">
      <c r="A73" s="318" t="s">
        <v>717</v>
      </c>
      <c r="B73" s="319" t="e">
        <f>B74+B75+B76</f>
        <v>#REF!</v>
      </c>
      <c r="C73" s="498"/>
      <c r="D73" s="319" t="e">
        <f>D74+D75+D76</f>
        <v>#REF!</v>
      </c>
      <c r="E73" s="497"/>
      <c r="F73" s="319" t="e">
        <f>F74+F75+F76</f>
        <v>#REF!</v>
      </c>
      <c r="G73" s="497"/>
      <c r="H73" s="319" t="e">
        <f>H74+H75+H76</f>
        <v>#REF!</v>
      </c>
      <c r="I73" s="618"/>
      <c r="J73" s="499"/>
    </row>
    <row r="74" spans="1:10" s="339" customFormat="1" ht="59.25" customHeight="1" x14ac:dyDescent="0.25">
      <c r="A74" s="335" t="s">
        <v>757</v>
      </c>
      <c r="B74" s="336" t="e">
        <f>#REF!*1000</f>
        <v>#REF!</v>
      </c>
      <c r="C74" s="475">
        <f>I84</f>
        <v>1.0264</v>
      </c>
      <c r="D74" s="336" t="e">
        <f>ROUND(B74*C74,0)</f>
        <v>#REF!</v>
      </c>
      <c r="E74" s="340">
        <f>I98</f>
        <v>1.0295000000000001</v>
      </c>
      <c r="F74" s="336" t="e">
        <f>ROUND(D74*E74,0)</f>
        <v>#REF!</v>
      </c>
      <c r="G74" s="336" t="e">
        <f>ROUND(F74*0.05,0)</f>
        <v>#REF!</v>
      </c>
      <c r="H74" s="336" t="e">
        <f t="shared" ref="H74:H75" si="2">F74-G74</f>
        <v>#REF!</v>
      </c>
      <c r="I74" s="620"/>
      <c r="J74" s="338"/>
    </row>
    <row r="75" spans="1:10" s="339" customFormat="1" ht="25.5" customHeight="1" x14ac:dyDescent="0.25">
      <c r="A75" s="335" t="s">
        <v>481</v>
      </c>
      <c r="B75" s="336"/>
      <c r="C75" s="475"/>
      <c r="D75" s="336"/>
      <c r="E75" s="340"/>
      <c r="F75" s="336">
        <v>1282870</v>
      </c>
      <c r="G75" s="336">
        <f t="shared" ref="G75" si="3">ROUND(F75*0.05,0)</f>
        <v>64144</v>
      </c>
      <c r="H75" s="336">
        <f t="shared" si="2"/>
        <v>1218726</v>
      </c>
      <c r="I75" s="619"/>
      <c r="J75" s="338"/>
    </row>
    <row r="76" spans="1:10" s="339" customFormat="1" ht="42" customHeight="1" x14ac:dyDescent="0.25">
      <c r="A76" s="335" t="s">
        <v>482</v>
      </c>
      <c r="B76" s="336"/>
      <c r="C76" s="475"/>
      <c r="D76" s="336"/>
      <c r="E76" s="337"/>
      <c r="F76" s="336"/>
      <c r="G76" s="336" t="e">
        <f>SUM(G74:G75)</f>
        <v>#REF!</v>
      </c>
      <c r="H76" s="336" t="e">
        <f>G76</f>
        <v>#REF!</v>
      </c>
      <c r="I76" s="619"/>
      <c r="J76" s="338"/>
    </row>
    <row r="77" spans="1:10" s="508" customFormat="1" ht="35.25" customHeight="1" x14ac:dyDescent="0.25">
      <c r="A77" s="503" t="s">
        <v>661</v>
      </c>
      <c r="B77" s="504" t="e">
        <f>B73+B71+B68+B72</f>
        <v>#REF!</v>
      </c>
      <c r="C77" s="505"/>
      <c r="D77" s="504" t="e">
        <f>D73+D71+D68+D72</f>
        <v>#REF!</v>
      </c>
      <c r="E77" s="506"/>
      <c r="F77" s="504" t="e">
        <f>F73+F71+F68+F72</f>
        <v>#REF!</v>
      </c>
      <c r="G77" s="504"/>
      <c r="H77" s="504" t="e">
        <f>H73+H71+H68+H72</f>
        <v>#REF!</v>
      </c>
      <c r="I77" s="621"/>
      <c r="J77" s="507"/>
    </row>
    <row r="78" spans="1:10" s="508" customFormat="1" ht="35.25" customHeight="1" x14ac:dyDescent="0.25">
      <c r="A78" s="503" t="s">
        <v>756</v>
      </c>
      <c r="B78" s="504"/>
      <c r="C78" s="505"/>
      <c r="D78" s="504"/>
      <c r="E78" s="506"/>
      <c r="F78" s="504"/>
      <c r="G78" s="504"/>
      <c r="H78" s="504" t="e">
        <f>ROUND(H77*0.976745,0)</f>
        <v>#REF!</v>
      </c>
      <c r="I78" s="621"/>
      <c r="J78" s="507"/>
    </row>
    <row r="79" spans="1:10" ht="35.25" customHeight="1" x14ac:dyDescent="0.25">
      <c r="A79" s="316" t="s">
        <v>46</v>
      </c>
      <c r="B79" s="317" t="e">
        <f>ROUND(B77*0.2,0)</f>
        <v>#REF!</v>
      </c>
      <c r="C79" s="476"/>
      <c r="D79" s="317" t="e">
        <f>ROUND(D77*0.2,0)</f>
        <v>#REF!</v>
      </c>
      <c r="E79" s="317"/>
      <c r="F79" s="317" t="e">
        <f>ROUND(F77*0.2,0)</f>
        <v>#REF!</v>
      </c>
      <c r="G79" s="317"/>
      <c r="H79" s="317" t="e">
        <f>ROUND(H78*0.2,0)</f>
        <v>#REF!</v>
      </c>
      <c r="I79" s="622"/>
      <c r="J79" s="312"/>
    </row>
    <row r="80" spans="1:10" s="511" customFormat="1" ht="35.25" customHeight="1" x14ac:dyDescent="0.25">
      <c r="A80" s="503" t="s">
        <v>479</v>
      </c>
      <c r="B80" s="504" t="e">
        <f>B77+B79</f>
        <v>#REF!</v>
      </c>
      <c r="C80" s="509"/>
      <c r="D80" s="504" t="e">
        <f>D77+D79</f>
        <v>#REF!</v>
      </c>
      <c r="E80" s="504"/>
      <c r="F80" s="504" t="e">
        <f>F77+F79</f>
        <v>#REF!</v>
      </c>
      <c r="G80" s="504"/>
      <c r="H80" s="504" t="e">
        <f>H78+H79</f>
        <v>#REF!</v>
      </c>
      <c r="I80" s="623"/>
      <c r="J80" s="510"/>
    </row>
    <row r="81" spans="1:12" s="345" customFormat="1" ht="17.25" customHeight="1" x14ac:dyDescent="0.25">
      <c r="A81" s="694" t="s">
        <v>647</v>
      </c>
      <c r="B81" s="695"/>
      <c r="C81" s="696"/>
      <c r="D81" s="696"/>
      <c r="E81" s="696"/>
      <c r="F81" s="696"/>
      <c r="G81" s="696"/>
      <c r="H81" s="696"/>
      <c r="I81" s="606"/>
      <c r="J81" s="639"/>
    </row>
    <row r="82" spans="1:12" s="345" customFormat="1" ht="17.25" customHeight="1" x14ac:dyDescent="0.25">
      <c r="A82" s="694" t="s">
        <v>648</v>
      </c>
      <c r="B82" s="695"/>
      <c r="C82" s="639"/>
      <c r="D82" s="639"/>
      <c r="E82" s="639"/>
      <c r="F82" s="639"/>
      <c r="G82" s="639"/>
      <c r="H82" s="639"/>
      <c r="I82" s="639"/>
      <c r="J82" s="639"/>
    </row>
    <row r="83" spans="1:12" customFormat="1" ht="21.95" customHeight="1" x14ac:dyDescent="0.25">
      <c r="A83" s="477" t="s">
        <v>738</v>
      </c>
      <c r="B83" s="607"/>
      <c r="C83" s="444"/>
      <c r="D83" s="444"/>
      <c r="E83" s="444"/>
      <c r="F83" s="444"/>
      <c r="G83" s="444"/>
      <c r="H83" s="444"/>
      <c r="I83" s="444"/>
      <c r="J83" s="444"/>
    </row>
    <row r="84" spans="1:12" s="345" customFormat="1" ht="17.25" customHeight="1" x14ac:dyDescent="0.25">
      <c r="A84" s="567" t="s">
        <v>739</v>
      </c>
      <c r="B84" s="639"/>
      <c r="C84" s="639"/>
      <c r="D84" s="639"/>
      <c r="E84" s="639"/>
      <c r="F84" s="639"/>
      <c r="G84" s="639"/>
      <c r="H84" s="639"/>
      <c r="I84" s="639">
        <f>ROUND(1*1.0052*1.0168*1.0042,4)</f>
        <v>1.0264</v>
      </c>
      <c r="J84" s="491" t="s">
        <v>11</v>
      </c>
    </row>
    <row r="85" spans="1:12" customFormat="1" ht="11.25" customHeight="1" x14ac:dyDescent="0.25">
      <c r="A85" s="699"/>
      <c r="B85" s="700"/>
      <c r="C85" s="444"/>
      <c r="D85" s="444"/>
      <c r="E85" s="444"/>
      <c r="F85" s="444"/>
      <c r="G85" s="444"/>
      <c r="H85" s="444"/>
      <c r="I85" s="444"/>
      <c r="J85" s="444"/>
    </row>
    <row r="86" spans="1:12" customFormat="1" ht="27" customHeight="1" x14ac:dyDescent="0.25">
      <c r="A86" s="701" t="s">
        <v>740</v>
      </c>
      <c r="B86" s="701"/>
      <c r="C86" s="701"/>
      <c r="D86" s="701"/>
      <c r="E86" s="701"/>
      <c r="F86" s="701"/>
      <c r="G86" s="701"/>
      <c r="H86" s="701"/>
      <c r="I86" s="444"/>
      <c r="J86" s="444"/>
    </row>
    <row r="87" spans="1:12" s="479" customFormat="1" x14ac:dyDescent="0.25">
      <c r="A87" s="486" t="s">
        <v>649</v>
      </c>
      <c r="B87" s="486"/>
      <c r="C87" s="487"/>
      <c r="D87" s="488"/>
      <c r="E87" s="488"/>
      <c r="F87" s="488"/>
      <c r="G87" s="488"/>
      <c r="H87" s="489"/>
      <c r="I87" s="474"/>
      <c r="J87" s="474"/>
    </row>
    <row r="88" spans="1:12" s="479" customFormat="1" x14ac:dyDescent="0.25">
      <c r="A88" s="486" t="s">
        <v>654</v>
      </c>
      <c r="B88" s="486"/>
      <c r="C88" s="487"/>
      <c r="D88" s="488"/>
      <c r="E88" s="488"/>
      <c r="F88" s="488"/>
      <c r="G88" s="488"/>
      <c r="H88" s="489"/>
      <c r="I88" s="474"/>
      <c r="J88" s="473">
        <f>(1-0.15)*0.5</f>
        <v>0.42499999999999999</v>
      </c>
      <c r="K88" s="479" t="s">
        <v>650</v>
      </c>
      <c r="L88" s="479" t="s">
        <v>651</v>
      </c>
    </row>
    <row r="89" spans="1:12" s="479" customFormat="1" x14ac:dyDescent="0.25">
      <c r="A89" s="486" t="s">
        <v>653</v>
      </c>
      <c r="B89" s="486"/>
      <c r="C89" s="487"/>
      <c r="D89" s="488"/>
      <c r="E89" s="488"/>
      <c r="F89" s="488"/>
      <c r="G89" s="488"/>
      <c r="H89" s="489"/>
      <c r="I89" s="474"/>
      <c r="J89" s="473">
        <f>(1-0.15)*0.5</f>
        <v>0.42499999999999999</v>
      </c>
      <c r="K89" s="479" t="s">
        <v>650</v>
      </c>
      <c r="L89" s="479" t="s">
        <v>652</v>
      </c>
    </row>
    <row r="90" spans="1:12" s="479" customFormat="1" x14ac:dyDescent="0.25">
      <c r="A90" s="486" t="s">
        <v>741</v>
      </c>
      <c r="B90" s="486"/>
      <c r="C90" s="487"/>
      <c r="D90" s="488"/>
      <c r="E90" s="488"/>
      <c r="F90" s="488"/>
      <c r="G90" s="488"/>
      <c r="H90" s="489"/>
      <c r="I90" s="474"/>
      <c r="J90" s="473"/>
    </row>
    <row r="91" spans="1:12" s="479" customFormat="1" x14ac:dyDescent="0.25">
      <c r="A91" s="486" t="s">
        <v>742</v>
      </c>
      <c r="B91" s="608">
        <v>1.036</v>
      </c>
      <c r="C91" s="487"/>
      <c r="D91" s="488"/>
      <c r="E91" s="488"/>
      <c r="F91" s="488"/>
      <c r="G91" s="488"/>
      <c r="H91" s="489"/>
      <c r="I91" s="474"/>
      <c r="J91" s="473"/>
    </row>
    <row r="92" spans="1:12" s="479" customFormat="1" x14ac:dyDescent="0.25">
      <c r="A92" s="486" t="s">
        <v>743</v>
      </c>
      <c r="B92" s="608">
        <v>1.0369999999999999</v>
      </c>
      <c r="C92" s="487"/>
      <c r="D92" s="488"/>
      <c r="E92" s="488"/>
      <c r="F92" s="488"/>
      <c r="G92" s="488"/>
      <c r="H92" s="489"/>
      <c r="I92" s="474"/>
      <c r="J92" s="473"/>
    </row>
    <row r="93" spans="1:12" s="479" customFormat="1" x14ac:dyDescent="0.25">
      <c r="A93" s="486" t="s">
        <v>744</v>
      </c>
      <c r="B93" s="608"/>
      <c r="C93" s="487"/>
      <c r="D93" s="488"/>
      <c r="E93" s="488"/>
      <c r="F93" s="488"/>
      <c r="G93" s="488"/>
      <c r="H93" s="489"/>
      <c r="I93" s="474"/>
      <c r="J93" s="473"/>
    </row>
    <row r="94" spans="1:12" s="479" customFormat="1" x14ac:dyDescent="0.25">
      <c r="A94" s="486" t="s">
        <v>742</v>
      </c>
      <c r="B94" s="609">
        <v>1.00295</v>
      </c>
      <c r="C94" s="487"/>
      <c r="D94" s="488"/>
      <c r="E94" s="488"/>
      <c r="F94" s="488"/>
      <c r="G94" s="488"/>
      <c r="H94" s="489"/>
      <c r="I94" s="474"/>
      <c r="J94" s="473"/>
    </row>
    <row r="95" spans="1:12" s="479" customFormat="1" x14ac:dyDescent="0.25">
      <c r="A95" s="486" t="s">
        <v>743</v>
      </c>
      <c r="B95" s="609">
        <v>1.0030300000000001</v>
      </c>
      <c r="C95" s="487"/>
      <c r="D95" s="488"/>
      <c r="E95" s="488"/>
      <c r="F95" s="488"/>
      <c r="G95" s="488"/>
      <c r="H95" s="489"/>
      <c r="I95" s="474"/>
      <c r="J95" s="473"/>
    </row>
    <row r="96" spans="1:12" s="479" customFormat="1" x14ac:dyDescent="0.25">
      <c r="A96" s="480" t="s">
        <v>745</v>
      </c>
      <c r="B96" s="481"/>
      <c r="C96" s="481"/>
      <c r="D96" s="482"/>
      <c r="E96" s="482"/>
      <c r="F96" s="482"/>
      <c r="G96" s="482"/>
      <c r="H96" s="483"/>
      <c r="I96" s="474">
        <f>ROUND((1.00295^6+1.00295^11)/2,4)</f>
        <v>1.0254000000000001</v>
      </c>
      <c r="J96" s="484"/>
    </row>
    <row r="97" spans="1:10" s="479" customFormat="1" x14ac:dyDescent="0.25">
      <c r="A97" s="480" t="s">
        <v>747</v>
      </c>
      <c r="B97" s="481"/>
      <c r="C97" s="481"/>
      <c r="D97" s="482"/>
      <c r="E97" s="482"/>
      <c r="F97" s="482"/>
      <c r="G97" s="482"/>
      <c r="H97" s="483"/>
      <c r="I97" s="474">
        <f>ROUND(1.00295^11*(1.00303+1.00303^6)/2,4)</f>
        <v>1.044</v>
      </c>
      <c r="J97" s="485"/>
    </row>
    <row r="98" spans="1:10" s="479" customFormat="1" x14ac:dyDescent="0.25">
      <c r="A98" s="480" t="s">
        <v>748</v>
      </c>
      <c r="B98" s="486"/>
      <c r="C98" s="486"/>
      <c r="D98" s="488"/>
      <c r="E98" s="488"/>
      <c r="F98" s="488"/>
      <c r="G98" s="488"/>
      <c r="H98" s="489"/>
      <c r="I98" s="615">
        <f>ROUND(0.15*1+0.425*1.0254+0.425*1.044,4)</f>
        <v>1.0295000000000001</v>
      </c>
      <c r="J98" s="478"/>
    </row>
    <row r="99" spans="1:10" s="614" customFormat="1" x14ac:dyDescent="0.25">
      <c r="A99" s="610"/>
      <c r="B99" s="611"/>
      <c r="C99" s="469"/>
      <c r="D99" s="469"/>
      <c r="E99" s="469"/>
      <c r="F99" s="469"/>
      <c r="G99" s="469"/>
      <c r="H99" s="612"/>
      <c r="I99" s="612"/>
      <c r="J99" s="613"/>
    </row>
    <row r="100" spans="1:10" s="479" customFormat="1" x14ac:dyDescent="0.25">
      <c r="A100" s="494" t="s">
        <v>657</v>
      </c>
      <c r="B100" s="495"/>
      <c r="C100" s="474"/>
      <c r="D100" s="474"/>
      <c r="E100" s="474"/>
      <c r="F100" s="474"/>
      <c r="G100" s="474"/>
      <c r="H100" s="474"/>
      <c r="I100" s="474"/>
      <c r="J100" s="473"/>
    </row>
    <row r="101" spans="1:10" s="479" customFormat="1" x14ac:dyDescent="0.25">
      <c r="A101" s="494" t="s">
        <v>655</v>
      </c>
      <c r="B101" s="495"/>
      <c r="C101" s="474"/>
      <c r="D101" s="474"/>
      <c r="E101" s="474"/>
      <c r="F101" s="474"/>
      <c r="G101" s="474"/>
      <c r="H101" s="474"/>
      <c r="I101" s="474"/>
      <c r="J101" s="473"/>
    </row>
    <row r="102" spans="1:10" s="479" customFormat="1" x14ac:dyDescent="0.25">
      <c r="A102" s="486" t="s">
        <v>658</v>
      </c>
      <c r="B102" s="495"/>
      <c r="C102" s="474"/>
      <c r="D102" s="474"/>
      <c r="E102" s="474"/>
      <c r="F102" s="474"/>
      <c r="G102" s="474"/>
      <c r="H102" s="474"/>
      <c r="I102" s="492">
        <f>174.13/1.2*183*24*1</f>
        <v>637315.80000000005</v>
      </c>
      <c r="J102" s="492"/>
    </row>
    <row r="103" spans="1:10" s="479" customFormat="1" x14ac:dyDescent="0.25">
      <c r="A103" s="494" t="s">
        <v>656</v>
      </c>
      <c r="B103" s="495"/>
      <c r="C103" s="474"/>
      <c r="D103" s="474"/>
      <c r="E103" s="474"/>
      <c r="F103" s="474"/>
      <c r="G103" s="474"/>
      <c r="H103" s="474"/>
      <c r="I103" s="474"/>
      <c r="J103" s="485"/>
    </row>
    <row r="104" spans="1:10" s="479" customFormat="1" x14ac:dyDescent="0.25">
      <c r="A104" s="486" t="s">
        <v>659</v>
      </c>
      <c r="B104" s="495"/>
      <c r="C104" s="474"/>
      <c r="D104" s="474"/>
      <c r="E104" s="474"/>
      <c r="F104" s="474"/>
      <c r="G104" s="474"/>
      <c r="H104" s="474"/>
      <c r="I104" s="492">
        <f>177.35/1.2*1*24*182</f>
        <v>645554</v>
      </c>
      <c r="J104" s="492"/>
    </row>
    <row r="105" spans="1:10" s="479" customFormat="1" x14ac:dyDescent="0.25">
      <c r="A105" s="486" t="s">
        <v>660</v>
      </c>
      <c r="B105" s="495"/>
      <c r="C105" s="474"/>
      <c r="D105" s="474"/>
      <c r="E105" s="474"/>
      <c r="F105" s="474"/>
      <c r="G105" s="474"/>
      <c r="H105" s="474"/>
      <c r="I105" s="496">
        <f ca="1">SUM(I102:I105)</f>
        <v>37077502959.592041</v>
      </c>
      <c r="J105" s="493"/>
    </row>
    <row r="106" spans="1:10" s="345" customFormat="1" ht="17.25" customHeight="1" x14ac:dyDescent="0.25">
      <c r="A106" s="694"/>
      <c r="B106" s="695"/>
      <c r="C106" s="696"/>
      <c r="D106" s="696"/>
      <c r="E106" s="696"/>
      <c r="F106" s="696"/>
      <c r="G106" s="696"/>
      <c r="H106" s="696"/>
      <c r="J106" s="639"/>
    </row>
    <row r="107" spans="1:10" ht="24.75" customHeight="1" x14ac:dyDescent="0.25">
      <c r="A107" s="697" t="s">
        <v>773</v>
      </c>
      <c r="B107" s="698"/>
      <c r="C107" s="698"/>
      <c r="D107" s="698"/>
      <c r="E107" s="698"/>
      <c r="F107" s="698"/>
      <c r="G107" s="698"/>
      <c r="H107" s="698"/>
      <c r="I107" s="312"/>
      <c r="J107" s="312"/>
    </row>
    <row r="108" spans="1:10" ht="123.75" customHeight="1" x14ac:dyDescent="0.25">
      <c r="A108" s="314" t="s">
        <v>475</v>
      </c>
      <c r="B108" s="314" t="s">
        <v>749</v>
      </c>
      <c r="C108" s="314" t="s">
        <v>476</v>
      </c>
      <c r="D108" s="314" t="s">
        <v>746</v>
      </c>
      <c r="E108" s="314" t="s">
        <v>477</v>
      </c>
      <c r="F108" s="314" t="s">
        <v>478</v>
      </c>
      <c r="G108" s="315">
        <v>0.05</v>
      </c>
      <c r="H108" s="314" t="s">
        <v>478</v>
      </c>
      <c r="I108" s="312"/>
      <c r="J108" s="312"/>
    </row>
    <row r="109" spans="1:10" s="500" customFormat="1" ht="54.75" customHeight="1" x14ac:dyDescent="0.25">
      <c r="A109" s="318" t="s">
        <v>716</v>
      </c>
      <c r="B109" s="497"/>
      <c r="C109" s="497"/>
      <c r="D109" s="319" t="e">
        <f>D111+D110</f>
        <v>#REF!</v>
      </c>
      <c r="E109" s="497"/>
      <c r="F109" s="319" t="e">
        <f>F111+F110</f>
        <v>#REF!</v>
      </c>
      <c r="G109" s="497"/>
      <c r="H109" s="319" t="e">
        <f>H111+H110</f>
        <v>#REF!</v>
      </c>
      <c r="I109" s="499"/>
      <c r="J109" s="499"/>
    </row>
    <row r="110" spans="1:10" s="339" customFormat="1" ht="37.5" customHeight="1" x14ac:dyDescent="0.25">
      <c r="A110" s="335" t="s">
        <v>480</v>
      </c>
      <c r="B110" s="341"/>
      <c r="C110" s="341"/>
      <c r="D110" s="336" t="e">
        <f>'расчет эт 3 ПИР'!C10</f>
        <v>#REF!</v>
      </c>
      <c r="E110" s="337">
        <v>1</v>
      </c>
      <c r="F110" s="336" t="e">
        <f>ROUND(D110*E110,0)</f>
        <v>#REF!</v>
      </c>
      <c r="G110" s="337"/>
      <c r="H110" s="336" t="e">
        <f>ROUND(D110*E110,0)</f>
        <v>#REF!</v>
      </c>
      <c r="I110" s="338"/>
      <c r="J110" s="338"/>
    </row>
    <row r="111" spans="1:10" s="339" customFormat="1" ht="30.75" customHeight="1" x14ac:dyDescent="0.25">
      <c r="A111" s="335" t="s">
        <v>710</v>
      </c>
      <c r="B111" s="341"/>
      <c r="C111" s="341"/>
      <c r="D111" s="336" t="e">
        <f>'расчет эт 3 ПИР'!C11</f>
        <v>#REF!</v>
      </c>
      <c r="E111" s="337">
        <f>1</f>
        <v>1</v>
      </c>
      <c r="F111" s="336" t="e">
        <f>ROUND(D111*E111,0)</f>
        <v>#REF!</v>
      </c>
      <c r="G111" s="337"/>
      <c r="H111" s="336" t="e">
        <f>ROUND(D111*E111,0)</f>
        <v>#REF!</v>
      </c>
      <c r="I111" s="338"/>
      <c r="J111" s="338"/>
    </row>
    <row r="112" spans="1:10" s="500" customFormat="1" ht="21" customHeight="1" x14ac:dyDescent="0.25">
      <c r="A112" s="318" t="s">
        <v>718</v>
      </c>
      <c r="B112" s="497"/>
      <c r="C112" s="501"/>
      <c r="D112" s="319" t="e">
        <f>ROUND(D111*0.0265,2)</f>
        <v>#REF!</v>
      </c>
      <c r="E112" s="501">
        <v>1</v>
      </c>
      <c r="F112" s="319" t="e">
        <f>ROUND(D112*E112,0)</f>
        <v>#REF!</v>
      </c>
      <c r="G112" s="502"/>
      <c r="H112" s="319" t="e">
        <f>ROUND(D112*E112,0)</f>
        <v>#REF!</v>
      </c>
      <c r="I112" s="499"/>
      <c r="J112" s="499"/>
    </row>
    <row r="113" spans="1:10" s="500" customFormat="1" ht="30.75" customHeight="1" x14ac:dyDescent="0.25">
      <c r="A113" s="318" t="s">
        <v>719</v>
      </c>
      <c r="B113" s="497"/>
      <c r="C113" s="501"/>
      <c r="D113" s="319"/>
      <c r="E113" s="501"/>
      <c r="F113" s="319"/>
      <c r="G113" s="502"/>
      <c r="H113" s="319" t="e">
        <f>ROUND((H114)*0.0015,0)</f>
        <v>#REF!</v>
      </c>
      <c r="I113" s="499"/>
      <c r="J113" s="499"/>
    </row>
    <row r="114" spans="1:10" s="500" customFormat="1" ht="41.25" customHeight="1" x14ac:dyDescent="0.25">
      <c r="A114" s="318" t="s">
        <v>717</v>
      </c>
      <c r="B114" s="319" t="e">
        <f>B115+B116+B117</f>
        <v>#REF!</v>
      </c>
      <c r="C114" s="497"/>
      <c r="D114" s="319" t="e">
        <f>D115+D116+D117</f>
        <v>#REF!</v>
      </c>
      <c r="E114" s="497"/>
      <c r="F114" s="319" t="e">
        <f>F115+F116+F117</f>
        <v>#REF!</v>
      </c>
      <c r="G114" s="497"/>
      <c r="H114" s="319" t="e">
        <f>H115+H116+H117</f>
        <v>#REF!</v>
      </c>
      <c r="I114" s="513" t="e">
        <f>B114-'[13]ПНЦ на УК'!$B$108</f>
        <v>#REF!</v>
      </c>
      <c r="J114" s="499"/>
    </row>
    <row r="115" spans="1:10" s="339" customFormat="1" ht="64.5" customHeight="1" x14ac:dyDescent="0.25">
      <c r="A115" s="335" t="s">
        <v>757</v>
      </c>
      <c r="B115" s="336" t="e">
        <f>#REF!*1000</f>
        <v>#REF!</v>
      </c>
      <c r="C115" s="475">
        <f>I125</f>
        <v>1.0264</v>
      </c>
      <c r="D115" s="336" t="e">
        <f>ROUND(B115*C115,0)</f>
        <v>#REF!</v>
      </c>
      <c r="E115" s="340">
        <f>I139</f>
        <v>1.0295000000000001</v>
      </c>
      <c r="F115" s="336" t="e">
        <f>ROUND(D115*E115,0)-1</f>
        <v>#REF!</v>
      </c>
      <c r="G115" s="336" t="e">
        <f t="shared" ref="G115:G116" si="4">ROUND(F115*0.05,0)</f>
        <v>#REF!</v>
      </c>
      <c r="H115" s="336" t="e">
        <f t="shared" ref="H115:H116" si="5">F115-G115</f>
        <v>#REF!</v>
      </c>
      <c r="I115" s="338"/>
      <c r="J115" s="338"/>
    </row>
    <row r="116" spans="1:10" s="339" customFormat="1" ht="25.5" customHeight="1" x14ac:dyDescent="0.25">
      <c r="A116" s="335" t="s">
        <v>481</v>
      </c>
      <c r="B116" s="336"/>
      <c r="C116" s="475"/>
      <c r="D116" s="336"/>
      <c r="E116" s="340"/>
      <c r="F116" s="336">
        <v>1282870</v>
      </c>
      <c r="G116" s="336">
        <f t="shared" si="4"/>
        <v>64144</v>
      </c>
      <c r="H116" s="336">
        <f t="shared" si="5"/>
        <v>1218726</v>
      </c>
      <c r="I116" s="338"/>
      <c r="J116" s="338"/>
    </row>
    <row r="117" spans="1:10" s="339" customFormat="1" ht="42" customHeight="1" x14ac:dyDescent="0.25">
      <c r="A117" s="335" t="s">
        <v>482</v>
      </c>
      <c r="B117" s="336"/>
      <c r="C117" s="475"/>
      <c r="D117" s="336"/>
      <c r="E117" s="337"/>
      <c r="F117" s="336"/>
      <c r="G117" s="336" t="e">
        <f>SUM(G115:G116)</f>
        <v>#REF!</v>
      </c>
      <c r="H117" s="336" t="e">
        <f>G117</f>
        <v>#REF!</v>
      </c>
      <c r="I117" s="338"/>
      <c r="J117" s="338"/>
    </row>
    <row r="118" spans="1:10" s="508" customFormat="1" ht="35.25" customHeight="1" x14ac:dyDescent="0.25">
      <c r="A118" s="503" t="s">
        <v>452</v>
      </c>
      <c r="B118" s="504" t="e">
        <f>B114+B112+B109+B113</f>
        <v>#REF!</v>
      </c>
      <c r="C118" s="512"/>
      <c r="D118" s="504" t="e">
        <f>D114+D112+D109+D113</f>
        <v>#REF!</v>
      </c>
      <c r="E118" s="506"/>
      <c r="F118" s="504" t="e">
        <f>F114+F112+F109+F113</f>
        <v>#REF!</v>
      </c>
      <c r="G118" s="504"/>
      <c r="H118" s="504" t="e">
        <f>H114+H112+H109+H113</f>
        <v>#REF!</v>
      </c>
      <c r="I118" s="507"/>
      <c r="J118" s="507"/>
    </row>
    <row r="119" spans="1:10" s="508" customFormat="1" ht="35.25" customHeight="1" x14ac:dyDescent="0.25">
      <c r="A119" s="503" t="s">
        <v>756</v>
      </c>
      <c r="B119" s="504"/>
      <c r="C119" s="512"/>
      <c r="D119" s="504"/>
      <c r="E119" s="506"/>
      <c r="F119" s="504"/>
      <c r="G119" s="504"/>
      <c r="H119" s="504" t="e">
        <f>ROUND(H118*0.976745,0)</f>
        <v>#REF!</v>
      </c>
      <c r="I119" s="507"/>
      <c r="J119" s="507"/>
    </row>
    <row r="120" spans="1:10" ht="35.25" customHeight="1" x14ac:dyDescent="0.25">
      <c r="A120" s="316" t="s">
        <v>46</v>
      </c>
      <c r="B120" s="317" t="e">
        <f>ROUND(B118*0.2,0)</f>
        <v>#REF!</v>
      </c>
      <c r="C120" s="476"/>
      <c r="D120" s="317" t="e">
        <f>ROUND(D118*0.2,0)</f>
        <v>#REF!</v>
      </c>
      <c r="E120" s="317"/>
      <c r="F120" s="317" t="e">
        <f>ROUND(F118*0.2,0)</f>
        <v>#REF!</v>
      </c>
      <c r="G120" s="317"/>
      <c r="H120" s="317" t="e">
        <f>ROUND(H119*0.2,0)</f>
        <v>#REF!</v>
      </c>
      <c r="I120" s="312"/>
      <c r="J120" s="312"/>
    </row>
    <row r="121" spans="1:10" s="508" customFormat="1" ht="35.25" customHeight="1" x14ac:dyDescent="0.25">
      <c r="A121" s="503" t="s">
        <v>479</v>
      </c>
      <c r="B121" s="504" t="e">
        <f>B118+B120</f>
        <v>#REF!</v>
      </c>
      <c r="C121" s="509"/>
      <c r="D121" s="504" t="e">
        <f>D118+D120</f>
        <v>#REF!</v>
      </c>
      <c r="E121" s="504"/>
      <c r="F121" s="504" t="e">
        <f>F118+F120</f>
        <v>#REF!</v>
      </c>
      <c r="G121" s="504"/>
      <c r="H121" s="504" t="e">
        <f>H119+H120</f>
        <v>#REF!</v>
      </c>
      <c r="I121" s="507"/>
      <c r="J121" s="507"/>
    </row>
    <row r="122" spans="1:10" s="345" customFormat="1" ht="17.25" customHeight="1" x14ac:dyDescent="0.25">
      <c r="A122" s="694" t="s">
        <v>662</v>
      </c>
      <c r="B122" s="695"/>
      <c r="C122" s="696"/>
      <c r="D122" s="696"/>
      <c r="E122" s="696"/>
      <c r="F122" s="696"/>
      <c r="G122" s="696"/>
      <c r="H122" s="696"/>
      <c r="I122" s="639"/>
      <c r="J122" s="639"/>
    </row>
    <row r="123" spans="1:10" s="345" customFormat="1" ht="17.25" customHeight="1" x14ac:dyDescent="0.25">
      <c r="A123" s="694" t="s">
        <v>648</v>
      </c>
      <c r="B123" s="695"/>
      <c r="C123" s="639"/>
      <c r="D123" s="639"/>
      <c r="E123" s="639"/>
      <c r="F123" s="639"/>
      <c r="G123" s="639"/>
      <c r="H123" s="639"/>
      <c r="I123" s="639"/>
      <c r="J123" s="639"/>
    </row>
    <row r="124" spans="1:10" customFormat="1" ht="21.95" customHeight="1" x14ac:dyDescent="0.25">
      <c r="A124" s="477" t="s">
        <v>738</v>
      </c>
      <c r="B124" s="607"/>
      <c r="C124" s="444"/>
      <c r="D124" s="444"/>
      <c r="E124" s="444"/>
      <c r="F124" s="444"/>
      <c r="G124" s="444"/>
      <c r="H124" s="444"/>
      <c r="I124" s="444"/>
      <c r="J124" s="444"/>
    </row>
    <row r="125" spans="1:10" s="345" customFormat="1" ht="17.25" customHeight="1" x14ac:dyDescent="0.25">
      <c r="A125" s="567" t="s">
        <v>739</v>
      </c>
      <c r="B125" s="639"/>
      <c r="C125" s="639"/>
      <c r="D125" s="639"/>
      <c r="E125" s="639"/>
      <c r="F125" s="639"/>
      <c r="G125" s="639"/>
      <c r="H125" s="639"/>
      <c r="I125" s="639">
        <f>ROUND(1*1.0052*1.0168*1.0042,4)</f>
        <v>1.0264</v>
      </c>
      <c r="J125" s="491" t="s">
        <v>11</v>
      </c>
    </row>
    <row r="126" spans="1:10" customFormat="1" ht="11.25" customHeight="1" x14ac:dyDescent="0.25">
      <c r="A126" s="699"/>
      <c r="B126" s="700"/>
      <c r="C126" s="444"/>
      <c r="D126" s="444"/>
      <c r="E126" s="444"/>
      <c r="F126" s="444"/>
      <c r="G126" s="444"/>
      <c r="H126" s="444"/>
      <c r="I126" s="444"/>
      <c r="J126" s="444"/>
    </row>
    <row r="127" spans="1:10" customFormat="1" ht="27" customHeight="1" x14ac:dyDescent="0.25">
      <c r="A127" s="701" t="s">
        <v>740</v>
      </c>
      <c r="B127" s="701"/>
      <c r="C127" s="701"/>
      <c r="D127" s="701"/>
      <c r="E127" s="701"/>
      <c r="F127" s="701"/>
      <c r="G127" s="701"/>
      <c r="H127" s="701"/>
      <c r="I127" s="444"/>
      <c r="J127" s="444"/>
    </row>
    <row r="128" spans="1:10" s="479" customFormat="1" x14ac:dyDescent="0.25">
      <c r="A128" s="486" t="s">
        <v>649</v>
      </c>
      <c r="B128" s="486"/>
      <c r="C128" s="487"/>
      <c r="D128" s="488"/>
      <c r="E128" s="488"/>
      <c r="F128" s="488"/>
      <c r="G128" s="488"/>
      <c r="H128" s="489"/>
      <c r="I128" s="474"/>
      <c r="J128" s="474"/>
    </row>
    <row r="129" spans="1:12" s="479" customFormat="1" x14ac:dyDescent="0.25">
      <c r="A129" s="486" t="s">
        <v>654</v>
      </c>
      <c r="B129" s="486"/>
      <c r="C129" s="487"/>
      <c r="D129" s="488"/>
      <c r="E129" s="488"/>
      <c r="F129" s="488"/>
      <c r="G129" s="488"/>
      <c r="H129" s="489"/>
      <c r="I129" s="474"/>
      <c r="J129" s="473">
        <f>(1-0.15)*0.5</f>
        <v>0.42499999999999999</v>
      </c>
      <c r="K129" s="479" t="s">
        <v>650</v>
      </c>
      <c r="L129" s="479" t="s">
        <v>651</v>
      </c>
    </row>
    <row r="130" spans="1:12" s="479" customFormat="1" x14ac:dyDescent="0.25">
      <c r="A130" s="486" t="s">
        <v>653</v>
      </c>
      <c r="B130" s="486"/>
      <c r="C130" s="487"/>
      <c r="D130" s="488"/>
      <c r="E130" s="488"/>
      <c r="F130" s="488"/>
      <c r="G130" s="488"/>
      <c r="H130" s="489"/>
      <c r="I130" s="474"/>
      <c r="J130" s="473">
        <f>(1-0.15)*0.5</f>
        <v>0.42499999999999999</v>
      </c>
      <c r="K130" s="479" t="s">
        <v>650</v>
      </c>
      <c r="L130" s="479" t="s">
        <v>652</v>
      </c>
    </row>
    <row r="131" spans="1:12" s="479" customFormat="1" x14ac:dyDescent="0.25">
      <c r="A131" s="486" t="s">
        <v>741</v>
      </c>
      <c r="B131" s="486"/>
      <c r="C131" s="487"/>
      <c r="D131" s="488"/>
      <c r="E131" s="488"/>
      <c r="F131" s="488"/>
      <c r="G131" s="488"/>
      <c r="H131" s="489"/>
      <c r="I131" s="474"/>
      <c r="J131" s="473"/>
    </row>
    <row r="132" spans="1:12" s="479" customFormat="1" x14ac:dyDescent="0.25">
      <c r="A132" s="486" t="s">
        <v>742</v>
      </c>
      <c r="B132" s="608">
        <v>1.036</v>
      </c>
      <c r="C132" s="487"/>
      <c r="D132" s="488"/>
      <c r="E132" s="488"/>
      <c r="F132" s="488"/>
      <c r="G132" s="488"/>
      <c r="H132" s="489"/>
      <c r="I132" s="474"/>
      <c r="J132" s="473"/>
    </row>
    <row r="133" spans="1:12" s="479" customFormat="1" x14ac:dyDescent="0.25">
      <c r="A133" s="486" t="s">
        <v>743</v>
      </c>
      <c r="B133" s="608">
        <v>1.0369999999999999</v>
      </c>
      <c r="C133" s="487"/>
      <c r="D133" s="488"/>
      <c r="E133" s="488"/>
      <c r="F133" s="488"/>
      <c r="G133" s="488"/>
      <c r="H133" s="489"/>
      <c r="I133" s="474"/>
      <c r="J133" s="473"/>
    </row>
    <row r="134" spans="1:12" s="479" customFormat="1" x14ac:dyDescent="0.25">
      <c r="A134" s="486" t="s">
        <v>744</v>
      </c>
      <c r="B134" s="608"/>
      <c r="C134" s="487"/>
      <c r="D134" s="488"/>
      <c r="E134" s="488"/>
      <c r="F134" s="488"/>
      <c r="G134" s="488"/>
      <c r="H134" s="489"/>
      <c r="I134" s="474"/>
      <c r="J134" s="473"/>
    </row>
    <row r="135" spans="1:12" s="479" customFormat="1" x14ac:dyDescent="0.25">
      <c r="A135" s="486" t="s">
        <v>742</v>
      </c>
      <c r="B135" s="609">
        <v>1.00295</v>
      </c>
      <c r="C135" s="487"/>
      <c r="D135" s="488"/>
      <c r="E135" s="488"/>
      <c r="F135" s="488"/>
      <c r="G135" s="488"/>
      <c r="H135" s="489"/>
      <c r="I135" s="474"/>
      <c r="J135" s="473"/>
    </row>
    <row r="136" spans="1:12" s="479" customFormat="1" x14ac:dyDescent="0.25">
      <c r="A136" s="486" t="s">
        <v>743</v>
      </c>
      <c r="B136" s="609">
        <v>1.0030300000000001</v>
      </c>
      <c r="C136" s="487"/>
      <c r="D136" s="488"/>
      <c r="E136" s="488"/>
      <c r="F136" s="488"/>
      <c r="G136" s="488"/>
      <c r="H136" s="489"/>
      <c r="I136" s="474"/>
      <c r="J136" s="473"/>
    </row>
    <row r="137" spans="1:12" s="479" customFormat="1" x14ac:dyDescent="0.25">
      <c r="A137" s="480" t="s">
        <v>745</v>
      </c>
      <c r="B137" s="481"/>
      <c r="C137" s="481"/>
      <c r="D137" s="482"/>
      <c r="E137" s="482"/>
      <c r="F137" s="482"/>
      <c r="G137" s="482"/>
      <c r="H137" s="483"/>
      <c r="I137" s="474">
        <f>ROUND((1.00295^6+1.00295^11)/2,4)</f>
        <v>1.0254000000000001</v>
      </c>
      <c r="J137" s="484"/>
    </row>
    <row r="138" spans="1:12" s="479" customFormat="1" x14ac:dyDescent="0.25">
      <c r="A138" s="480" t="s">
        <v>747</v>
      </c>
      <c r="B138" s="481"/>
      <c r="C138" s="481"/>
      <c r="D138" s="482"/>
      <c r="E138" s="482"/>
      <c r="F138" s="482"/>
      <c r="G138" s="482"/>
      <c r="H138" s="483"/>
      <c r="I138" s="474">
        <f>ROUND(1.00295^11*(1.00303+1.00303^6)/2,4)</f>
        <v>1.044</v>
      </c>
      <c r="J138" s="485"/>
    </row>
    <row r="139" spans="1:12" s="479" customFormat="1" x14ac:dyDescent="0.25">
      <c r="A139" s="480" t="s">
        <v>748</v>
      </c>
      <c r="B139" s="486"/>
      <c r="C139" s="486"/>
      <c r="D139" s="488"/>
      <c r="E139" s="488"/>
      <c r="F139" s="488"/>
      <c r="G139" s="488"/>
      <c r="H139" s="489"/>
      <c r="I139" s="615">
        <f>ROUND(0.15*1+0.425*1.0254+0.425*1.044,4)</f>
        <v>1.0295000000000001</v>
      </c>
      <c r="J139" s="478"/>
    </row>
    <row r="140" spans="1:12" s="479" customFormat="1" x14ac:dyDescent="0.25">
      <c r="A140" s="490"/>
      <c r="B140" s="488"/>
      <c r="C140" s="482"/>
      <c r="D140" s="482"/>
      <c r="E140" s="482"/>
      <c r="F140" s="482"/>
      <c r="G140" s="482"/>
      <c r="H140" s="474"/>
      <c r="I140" s="474"/>
      <c r="J140" s="478"/>
    </row>
    <row r="141" spans="1:12" s="479" customFormat="1" x14ac:dyDescent="0.25">
      <c r="A141" s="494" t="s">
        <v>665</v>
      </c>
      <c r="B141" s="495"/>
      <c r="C141" s="474"/>
      <c r="D141" s="474"/>
      <c r="E141" s="474"/>
      <c r="F141" s="474"/>
      <c r="G141" s="474"/>
      <c r="H141" s="474"/>
      <c r="I141" s="474"/>
      <c r="J141" s="473"/>
    </row>
    <row r="142" spans="1:12" s="479" customFormat="1" x14ac:dyDescent="0.25">
      <c r="A142" s="494" t="s">
        <v>655</v>
      </c>
      <c r="B142" s="495"/>
      <c r="C142" s="474"/>
      <c r="D142" s="474"/>
      <c r="E142" s="474"/>
      <c r="F142" s="474"/>
      <c r="G142" s="474"/>
      <c r="H142" s="474"/>
      <c r="I142" s="474"/>
      <c r="J142" s="473"/>
    </row>
    <row r="143" spans="1:12" s="479" customFormat="1" x14ac:dyDescent="0.25">
      <c r="A143" s="486" t="s">
        <v>658</v>
      </c>
      <c r="B143" s="495"/>
      <c r="C143" s="474"/>
      <c r="D143" s="474"/>
      <c r="E143" s="474"/>
      <c r="F143" s="474"/>
      <c r="G143" s="474"/>
      <c r="H143" s="474"/>
      <c r="I143" s="492">
        <f>174.13/1.2*183*24*1</f>
        <v>637315.80000000005</v>
      </c>
      <c r="J143" s="492"/>
    </row>
    <row r="144" spans="1:12" s="479" customFormat="1" x14ac:dyDescent="0.25">
      <c r="A144" s="494" t="s">
        <v>656</v>
      </c>
      <c r="B144" s="495"/>
      <c r="C144" s="474"/>
      <c r="D144" s="474"/>
      <c r="E144" s="474"/>
      <c r="F144" s="474"/>
      <c r="G144" s="474"/>
      <c r="H144" s="474"/>
      <c r="I144" s="474"/>
      <c r="J144" s="485"/>
    </row>
    <row r="145" spans="1:10" s="479" customFormat="1" x14ac:dyDescent="0.25">
      <c r="A145" s="486" t="s">
        <v>659</v>
      </c>
      <c r="B145" s="495"/>
      <c r="C145" s="474"/>
      <c r="D145" s="474"/>
      <c r="E145" s="474"/>
      <c r="F145" s="474"/>
      <c r="G145" s="474"/>
      <c r="H145" s="474"/>
      <c r="I145" s="492">
        <f>177.35/1.2*1*24*182</f>
        <v>645554</v>
      </c>
      <c r="J145" s="492"/>
    </row>
    <row r="146" spans="1:10" s="479" customFormat="1" x14ac:dyDescent="0.25">
      <c r="A146" s="486" t="s">
        <v>666</v>
      </c>
      <c r="B146" s="495"/>
      <c r="C146" s="474"/>
      <c r="D146" s="474"/>
      <c r="E146" s="474"/>
      <c r="F146" s="474"/>
      <c r="G146" s="474"/>
      <c r="H146" s="474"/>
      <c r="I146" s="496">
        <f ca="1">SUM(I143:I146)</f>
        <v>37077502959.592041</v>
      </c>
      <c r="J146" s="493"/>
    </row>
    <row r="147" spans="1:10" x14ac:dyDescent="0.25">
      <c r="A147" s="312"/>
      <c r="B147" s="312"/>
      <c r="C147" s="312"/>
      <c r="D147" s="312"/>
      <c r="E147" s="312"/>
      <c r="F147" s="312"/>
      <c r="G147" s="312"/>
      <c r="H147" s="312"/>
      <c r="I147" s="312"/>
      <c r="J147" s="312"/>
    </row>
    <row r="148" spans="1:10" ht="23.45" customHeight="1" x14ac:dyDescent="0.25">
      <c r="A148" s="312"/>
      <c r="B148" s="312"/>
      <c r="C148" s="312"/>
      <c r="D148" s="312"/>
      <c r="E148" s="312"/>
      <c r="F148" s="312"/>
      <c r="G148" s="312"/>
      <c r="H148" s="313"/>
      <c r="I148" s="312"/>
      <c r="J148" s="312"/>
    </row>
    <row r="149" spans="1:10" ht="123.75" customHeight="1" thickBot="1" x14ac:dyDescent="0.3">
      <c r="A149" s="314" t="s">
        <v>475</v>
      </c>
      <c r="B149" s="314" t="s">
        <v>749</v>
      </c>
      <c r="C149" s="314" t="s">
        <v>476</v>
      </c>
      <c r="D149" s="314" t="s">
        <v>746</v>
      </c>
      <c r="E149" s="314" t="s">
        <v>477</v>
      </c>
      <c r="F149" s="314" t="s">
        <v>478</v>
      </c>
      <c r="G149" s="315">
        <v>0.05</v>
      </c>
      <c r="H149" s="314" t="s">
        <v>478</v>
      </c>
      <c r="I149" s="535"/>
      <c r="J149" s="312"/>
    </row>
    <row r="150" spans="1:10" s="500" customFormat="1" ht="40.5" customHeight="1" x14ac:dyDescent="0.25">
      <c r="A150" s="516" t="s">
        <v>483</v>
      </c>
      <c r="B150" s="627" t="e">
        <f>B77+B35+B118</f>
        <v>#REF!</v>
      </c>
      <c r="C150" s="517"/>
      <c r="D150" s="517" t="e">
        <f>D77+D35+D118</f>
        <v>#REF!</v>
      </c>
      <c r="E150" s="517"/>
      <c r="F150" s="517" t="e">
        <f>F77+F35+F118</f>
        <v>#REF!</v>
      </c>
      <c r="G150" s="517"/>
      <c r="H150" s="518" t="e">
        <f>H118+H35+H77</f>
        <v>#REF!</v>
      </c>
      <c r="I150" s="513"/>
      <c r="J150" s="617"/>
    </row>
    <row r="151" spans="1:10" s="500" customFormat="1" ht="40.5" customHeight="1" x14ac:dyDescent="0.25">
      <c r="A151" s="503" t="s">
        <v>756</v>
      </c>
      <c r="B151" s="628"/>
      <c r="C151" s="629"/>
      <c r="D151" s="629"/>
      <c r="E151" s="629"/>
      <c r="F151" s="629"/>
      <c r="G151" s="629"/>
      <c r="H151" s="630" t="e">
        <f>H119+H36+H78</f>
        <v>#REF!</v>
      </c>
      <c r="I151" s="513"/>
      <c r="J151" s="617"/>
    </row>
    <row r="152" spans="1:10" x14ac:dyDescent="0.25">
      <c r="A152" s="519" t="s">
        <v>46</v>
      </c>
      <c r="B152" s="564" t="e">
        <f>B79+B37+B120</f>
        <v>#REF!</v>
      </c>
      <c r="C152" s="317"/>
      <c r="D152" s="317" t="e">
        <f>D79+D37+D120</f>
        <v>#REF!</v>
      </c>
      <c r="E152" s="317"/>
      <c r="F152" s="317" t="e">
        <f>F79+F37+F120</f>
        <v>#REF!</v>
      </c>
      <c r="G152" s="317"/>
      <c r="H152" s="520" t="e">
        <f>H120+H37+H79</f>
        <v>#REF!</v>
      </c>
      <c r="I152" s="631"/>
      <c r="J152" s="622"/>
    </row>
    <row r="153" spans="1:10" s="500" customFormat="1" ht="15.75" thickBot="1" x14ac:dyDescent="0.3">
      <c r="A153" s="521" t="s">
        <v>484</v>
      </c>
      <c r="B153" s="565" t="e">
        <f>B80+B38+B121</f>
        <v>#REF!</v>
      </c>
      <c r="C153" s="522"/>
      <c r="D153" s="522" t="e">
        <f>D80+D38+D121</f>
        <v>#REF!</v>
      </c>
      <c r="E153" s="522"/>
      <c r="F153" s="522" t="e">
        <f>F80+F38+F121</f>
        <v>#REF!</v>
      </c>
      <c r="G153" s="522"/>
      <c r="H153" s="523" t="e">
        <f>H121+H38+H80</f>
        <v>#REF!</v>
      </c>
      <c r="I153" s="513"/>
      <c r="J153" s="618"/>
    </row>
    <row r="154" spans="1:10" s="500" customFormat="1" x14ac:dyDescent="0.25">
      <c r="A154" s="514"/>
      <c r="B154" s="515"/>
      <c r="C154" s="515"/>
      <c r="D154" s="515"/>
      <c r="E154" s="515"/>
      <c r="F154" s="515"/>
      <c r="G154" s="515"/>
      <c r="H154" s="515"/>
      <c r="I154" s="499"/>
      <c r="J154" s="624"/>
    </row>
    <row r="155" spans="1:10" s="334" customFormat="1" ht="20.25" customHeight="1" x14ac:dyDescent="0.2">
      <c r="A155" s="692" t="s">
        <v>714</v>
      </c>
      <c r="B155" s="693"/>
      <c r="C155" s="693"/>
      <c r="D155" s="693"/>
      <c r="E155" s="693"/>
      <c r="F155" s="693"/>
      <c r="G155" s="693"/>
      <c r="H155" s="693"/>
      <c r="J155" s="625"/>
    </row>
    <row r="156" spans="1:10" s="334" customFormat="1" ht="12.75" x14ac:dyDescent="0.2">
      <c r="A156" s="692" t="s">
        <v>487</v>
      </c>
      <c r="B156" s="693"/>
      <c r="C156" s="693"/>
      <c r="D156" s="693"/>
      <c r="E156" s="693"/>
      <c r="F156" s="693"/>
      <c r="G156" s="693"/>
      <c r="H156" s="693"/>
      <c r="I156" s="536"/>
      <c r="J156" s="625"/>
    </row>
    <row r="157" spans="1:10" s="334" customFormat="1" ht="20.25" customHeight="1" x14ac:dyDescent="0.2">
      <c r="A157" s="692" t="s">
        <v>715</v>
      </c>
      <c r="B157" s="693"/>
      <c r="C157" s="693"/>
      <c r="D157" s="693"/>
      <c r="E157" s="693"/>
      <c r="F157" s="693"/>
      <c r="G157" s="693"/>
      <c r="H157" s="693"/>
      <c r="J157" s="625"/>
    </row>
    <row r="158" spans="1:10" s="334" customFormat="1" ht="12.75" x14ac:dyDescent="0.2">
      <c r="A158" s="692" t="s">
        <v>485</v>
      </c>
      <c r="B158" s="693"/>
      <c r="C158" s="693"/>
      <c r="D158" s="693"/>
      <c r="E158" s="693"/>
      <c r="F158" s="693"/>
      <c r="G158" s="693"/>
      <c r="H158" s="693"/>
      <c r="I158" s="536"/>
      <c r="J158" s="625"/>
    </row>
    <row r="159" spans="1:10" s="334" customFormat="1" ht="12.75" x14ac:dyDescent="0.2">
      <c r="A159" s="692" t="s">
        <v>486</v>
      </c>
      <c r="B159" s="693"/>
      <c r="C159" s="693"/>
      <c r="D159" s="693"/>
      <c r="E159" s="693"/>
      <c r="F159" s="693"/>
      <c r="G159" s="693"/>
      <c r="H159" s="693"/>
      <c r="J159" s="625"/>
    </row>
    <row r="160" spans="1:10" s="334" customFormat="1" ht="12.75" x14ac:dyDescent="0.2">
      <c r="A160" s="692" t="s">
        <v>487</v>
      </c>
      <c r="B160" s="693"/>
      <c r="C160" s="693"/>
      <c r="D160" s="693"/>
      <c r="E160" s="693"/>
      <c r="F160" s="693"/>
      <c r="G160" s="693"/>
      <c r="H160" s="693"/>
      <c r="J160" s="625"/>
    </row>
    <row r="161" spans="1:10" s="334" customFormat="1" ht="12.75" x14ac:dyDescent="0.2">
      <c r="A161" s="635"/>
      <c r="B161" s="636"/>
      <c r="C161" s="636"/>
      <c r="D161" s="636"/>
      <c r="E161" s="636"/>
      <c r="F161" s="636"/>
      <c r="G161" s="636"/>
      <c r="H161" s="636"/>
      <c r="J161" s="625"/>
    </row>
    <row r="162" spans="1:10" x14ac:dyDescent="0.25">
      <c r="J162" s="626"/>
    </row>
    <row r="163" spans="1:10" x14ac:dyDescent="0.25">
      <c r="J163" s="626"/>
    </row>
    <row r="164" spans="1:10" ht="18.75" x14ac:dyDescent="0.3">
      <c r="A164" s="324"/>
      <c r="B164" s="324"/>
      <c r="C164" s="325"/>
      <c r="D164" s="325"/>
      <c r="E164" s="326"/>
      <c r="F164" s="326"/>
      <c r="J164" s="626"/>
    </row>
    <row r="165" spans="1:10" ht="18.75" x14ac:dyDescent="0.3">
      <c r="A165" s="327"/>
      <c r="B165" s="326"/>
      <c r="C165" s="328"/>
      <c r="D165" s="329"/>
      <c r="E165" s="328"/>
      <c r="H165" s="328"/>
      <c r="J165" s="626"/>
    </row>
    <row r="166" spans="1:10" ht="18" x14ac:dyDescent="0.25">
      <c r="A166" s="330"/>
      <c r="B166" s="331"/>
      <c r="C166" s="332"/>
      <c r="D166" s="332"/>
      <c r="E166" s="333"/>
      <c r="F166" s="333"/>
      <c r="I166" s="566"/>
    </row>
    <row r="167" spans="1:10" ht="18" x14ac:dyDescent="0.25">
      <c r="A167" s="330"/>
      <c r="B167" s="331"/>
      <c r="C167" s="332"/>
      <c r="D167" s="332"/>
      <c r="E167" s="333"/>
      <c r="F167" s="333"/>
    </row>
    <row r="170" spans="1:10" x14ac:dyDescent="0.25">
      <c r="I170" s="566"/>
    </row>
    <row r="174" spans="1:10" x14ac:dyDescent="0.25">
      <c r="H174" s="566" t="e">
        <f>H68+H26+H109</f>
        <v>#REF!</v>
      </c>
    </row>
    <row r="175" spans="1:10" x14ac:dyDescent="0.25">
      <c r="H175" s="311" t="e">
        <f>H174*1.2</f>
        <v>#REF!</v>
      </c>
    </row>
    <row r="176" spans="1:10" x14ac:dyDescent="0.25">
      <c r="I176" s="566"/>
    </row>
    <row r="180" spans="9:9" x14ac:dyDescent="0.25">
      <c r="I180" s="566"/>
    </row>
  </sheetData>
  <mergeCells count="42">
    <mergeCell ref="A158:H158"/>
    <mergeCell ref="A159:H159"/>
    <mergeCell ref="A160:H160"/>
    <mergeCell ref="A45:H45"/>
    <mergeCell ref="A107:H107"/>
    <mergeCell ref="A122:H122"/>
    <mergeCell ref="A123:B123"/>
    <mergeCell ref="A126:B126"/>
    <mergeCell ref="A127:H127"/>
    <mergeCell ref="A86:H86"/>
    <mergeCell ref="A106:H106"/>
    <mergeCell ref="A66:H66"/>
    <mergeCell ref="A81:H81"/>
    <mergeCell ref="A82:B82"/>
    <mergeCell ref="A85:B85"/>
    <mergeCell ref="A155:H155"/>
    <mergeCell ref="A156:H156"/>
    <mergeCell ref="A157:H157"/>
    <mergeCell ref="A24:H24"/>
    <mergeCell ref="A40:H40"/>
    <mergeCell ref="A41:B41"/>
    <mergeCell ref="A44:B44"/>
    <mergeCell ref="A21:H21"/>
    <mergeCell ref="A22:H22"/>
    <mergeCell ref="A20:H20"/>
    <mergeCell ref="A8:H8"/>
    <mergeCell ref="A9:H9"/>
    <mergeCell ref="A10:H10"/>
    <mergeCell ref="A11:H11"/>
    <mergeCell ref="A13:H13"/>
    <mergeCell ref="A14:H14"/>
    <mergeCell ref="A15:H15"/>
    <mergeCell ref="A16:H16"/>
    <mergeCell ref="A17:H17"/>
    <mergeCell ref="A18:H18"/>
    <mergeCell ref="A19:H19"/>
    <mergeCell ref="A6:H6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colBreaks count="1" manualBreakCount="1">
    <brk id="8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5" tint="0.39997558519241921"/>
    <pageSetUpPr fitToPage="1"/>
  </sheetPr>
  <dimension ref="A1:U47"/>
  <sheetViews>
    <sheetView showGridLines="0" view="pageBreakPreview" zoomScale="72" zoomScaleNormal="100" zoomScaleSheetLayoutView="72" workbookViewId="0">
      <selection sqref="A1:G1"/>
    </sheetView>
  </sheetViews>
  <sheetFormatPr defaultColWidth="9.140625" defaultRowHeight="15.75" x14ac:dyDescent="0.25"/>
  <cols>
    <col min="1" max="1" width="25.85546875" style="99" customWidth="1"/>
    <col min="2" max="2" width="5.7109375" style="49" customWidth="1"/>
    <col min="3" max="3" width="19.710937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4.5703125" style="49" customWidth="1"/>
    <col min="13" max="13" width="9.140625" style="49"/>
    <col min="14" max="17" width="11.42578125" style="49" customWidth="1"/>
    <col min="18" max="18" width="38.5703125" style="49" customWidth="1"/>
    <col min="19" max="19" width="13.85546875" style="49" customWidth="1"/>
    <col min="20" max="20" width="16.28515625" style="49" customWidth="1"/>
    <col min="21" max="21" width="21" style="49" customWidth="1"/>
    <col min="22" max="16384" width="9.140625" style="49"/>
  </cols>
  <sheetData>
    <row r="1" spans="1:21" ht="65.25" customHeight="1" x14ac:dyDescent="0.25">
      <c r="A1" s="776"/>
      <c r="B1" s="776"/>
      <c r="C1" s="776"/>
      <c r="D1" s="776"/>
      <c r="E1" s="776"/>
      <c r="F1" s="776"/>
      <c r="G1" s="776"/>
      <c r="H1" s="776"/>
      <c r="I1" s="776"/>
      <c r="J1" s="776"/>
      <c r="K1" s="776"/>
      <c r="L1" s="776"/>
      <c r="M1" s="776"/>
      <c r="N1" s="776"/>
      <c r="O1" s="776"/>
      <c r="P1" s="776"/>
      <c r="Q1" s="776"/>
      <c r="R1" s="776"/>
      <c r="S1" s="776"/>
      <c r="T1" s="776"/>
      <c r="U1" s="776"/>
    </row>
    <row r="2" spans="1:21" x14ac:dyDescent="0.25">
      <c r="A2" s="50"/>
      <c r="B2" s="30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21" s="53" customFormat="1" x14ac:dyDescent="0.25">
      <c r="A3" s="746" t="s">
        <v>594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  <c r="M3" s="747"/>
      <c r="N3" s="747"/>
      <c r="O3" s="747"/>
      <c r="P3" s="747"/>
      <c r="Q3" s="747"/>
      <c r="R3" s="747"/>
      <c r="S3" s="747"/>
      <c r="T3" s="747"/>
      <c r="U3" s="747"/>
    </row>
    <row r="4" spans="1:21" s="53" customFormat="1" ht="21" customHeight="1" x14ac:dyDescent="0.25">
      <c r="A4" s="748" t="s">
        <v>600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  <c r="M4" s="749"/>
      <c r="N4" s="749"/>
      <c r="O4" s="749"/>
      <c r="P4" s="749"/>
      <c r="Q4" s="749"/>
      <c r="R4" s="749"/>
      <c r="S4" s="749"/>
      <c r="T4" s="749"/>
      <c r="U4" s="749"/>
    </row>
    <row r="5" spans="1:21" ht="48" customHeight="1" x14ac:dyDescent="0.25">
      <c r="A5" s="50" t="s">
        <v>20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21" x14ac:dyDescent="0.25">
      <c r="A6" s="859" t="s">
        <v>601</v>
      </c>
      <c r="B6" s="860"/>
      <c r="C6" s="860"/>
      <c r="D6" s="860"/>
      <c r="E6" s="860"/>
      <c r="F6" s="860"/>
      <c r="G6" s="860"/>
      <c r="H6" s="860"/>
      <c r="I6" s="860"/>
      <c r="J6" s="860"/>
      <c r="K6" s="860"/>
      <c r="L6" s="860"/>
      <c r="M6" s="860"/>
      <c r="N6" s="860"/>
      <c r="O6" s="860"/>
      <c r="P6" s="860"/>
      <c r="Q6" s="860"/>
      <c r="R6" s="860"/>
      <c r="S6" s="860"/>
      <c r="T6" s="860"/>
      <c r="U6" s="860"/>
    </row>
    <row r="7" spans="1:21" x14ac:dyDescent="0.25">
      <c r="F7" s="811" t="s">
        <v>615</v>
      </c>
      <c r="G7" s="811"/>
      <c r="H7" s="811"/>
      <c r="I7" s="811" t="s">
        <v>609</v>
      </c>
      <c r="J7" s="811"/>
      <c r="K7" s="811"/>
      <c r="L7" s="811" t="s">
        <v>612</v>
      </c>
      <c r="M7" s="811"/>
      <c r="N7" s="811"/>
      <c r="O7" s="412"/>
      <c r="P7" s="412"/>
      <c r="Q7" s="412"/>
      <c r="R7" s="811" t="s">
        <v>614</v>
      </c>
      <c r="S7" s="811"/>
      <c r="T7" s="811"/>
      <c r="U7" s="811"/>
    </row>
    <row r="8" spans="1:21" s="308" customFormat="1" ht="96.75" customHeight="1" x14ac:dyDescent="0.25">
      <c r="A8" s="305"/>
      <c r="B8" s="305" t="s">
        <v>19</v>
      </c>
      <c r="C8" s="223" t="s">
        <v>602</v>
      </c>
      <c r="D8" s="306" t="s">
        <v>603</v>
      </c>
      <c r="E8" s="307" t="s">
        <v>604</v>
      </c>
      <c r="F8" s="433" t="s">
        <v>605</v>
      </c>
      <c r="G8" s="433" t="s">
        <v>606</v>
      </c>
      <c r="H8" s="434" t="s">
        <v>607</v>
      </c>
      <c r="I8" s="433" t="s">
        <v>610</v>
      </c>
      <c r="J8" s="433" t="s">
        <v>606</v>
      </c>
      <c r="K8" s="434" t="s">
        <v>607</v>
      </c>
      <c r="L8" s="433" t="s">
        <v>611</v>
      </c>
      <c r="M8" s="433" t="s">
        <v>606</v>
      </c>
      <c r="N8" s="434" t="s">
        <v>607</v>
      </c>
      <c r="O8" s="434"/>
      <c r="P8" s="434"/>
      <c r="Q8" s="434"/>
      <c r="R8" s="434" t="s">
        <v>613</v>
      </c>
      <c r="S8" s="223" t="s">
        <v>469</v>
      </c>
      <c r="T8" s="434" t="s">
        <v>616</v>
      </c>
      <c r="U8" s="434" t="s">
        <v>617</v>
      </c>
    </row>
    <row r="9" spans="1:21" x14ac:dyDescent="0.25">
      <c r="A9" s="75"/>
      <c r="B9" s="75" t="s">
        <v>118</v>
      </c>
      <c r="C9" s="76">
        <v>2</v>
      </c>
      <c r="D9" s="77">
        <v>3</v>
      </c>
      <c r="E9" s="78">
        <v>4</v>
      </c>
      <c r="F9" s="78">
        <v>5</v>
      </c>
      <c r="G9" s="78">
        <v>6</v>
      </c>
      <c r="H9" s="76">
        <v>7</v>
      </c>
      <c r="I9" s="77">
        <v>8</v>
      </c>
      <c r="J9" s="78">
        <v>9</v>
      </c>
      <c r="K9" s="78">
        <v>10</v>
      </c>
      <c r="L9" s="78">
        <v>11</v>
      </c>
      <c r="M9" s="78">
        <v>12</v>
      </c>
      <c r="N9" s="78">
        <v>13</v>
      </c>
      <c r="O9" s="78">
        <v>14</v>
      </c>
      <c r="P9" s="78">
        <v>15</v>
      </c>
      <c r="Q9" s="78">
        <v>16</v>
      </c>
      <c r="R9" s="78">
        <v>17</v>
      </c>
      <c r="S9" s="78">
        <v>18</v>
      </c>
      <c r="T9" s="78">
        <v>19</v>
      </c>
      <c r="U9" s="78">
        <v>20</v>
      </c>
    </row>
    <row r="10" spans="1:21" s="84" customFormat="1" x14ac:dyDescent="0.25">
      <c r="A10" s="79" t="s">
        <v>471</v>
      </c>
      <c r="B10" s="309">
        <v>1</v>
      </c>
      <c r="C10" s="310">
        <v>107</v>
      </c>
      <c r="D10" s="310">
        <v>5454.53</v>
      </c>
      <c r="E10" s="310">
        <v>2</v>
      </c>
      <c r="F10" s="310">
        <v>1</v>
      </c>
      <c r="G10" s="310">
        <v>107</v>
      </c>
      <c r="H10" s="310">
        <v>1.32</v>
      </c>
      <c r="I10" s="310">
        <v>1</v>
      </c>
      <c r="J10" s="310">
        <v>107</v>
      </c>
      <c r="K10" s="429">
        <v>1</v>
      </c>
      <c r="L10" s="310">
        <v>0</v>
      </c>
      <c r="M10" s="310">
        <f t="shared" ref="M10" si="0">I10*J10*K10*L10</f>
        <v>0</v>
      </c>
      <c r="N10" s="310">
        <f t="shared" ref="N10" si="1">J10*K10*L10*M10</f>
        <v>0</v>
      </c>
      <c r="O10" s="310"/>
      <c r="P10" s="310"/>
      <c r="Q10" s="310"/>
      <c r="R10" s="310">
        <f>(G10/C10*F10*H10+J10/C10*I10*K10)/E10</f>
        <v>1.1600000000000001</v>
      </c>
      <c r="S10" s="310">
        <f>1551</f>
        <v>1551</v>
      </c>
      <c r="T10" s="310">
        <f>S10*R10*C10*E10</f>
        <v>385020.24000000005</v>
      </c>
      <c r="U10" s="310">
        <f>T10*G17</f>
        <v>1505429.1384000003</v>
      </c>
    </row>
    <row r="11" spans="1:21" s="84" customFormat="1" x14ac:dyDescent="0.25">
      <c r="A11" s="79" t="s">
        <v>472</v>
      </c>
      <c r="B11" s="309">
        <v>2</v>
      </c>
      <c r="C11" s="310">
        <v>546</v>
      </c>
      <c r="D11" s="310">
        <v>36211.35</v>
      </c>
      <c r="E11" s="310">
        <v>4</v>
      </c>
      <c r="F11" s="310">
        <v>2</v>
      </c>
      <c r="G11" s="310">
        <f>C11/2</f>
        <v>273</v>
      </c>
      <c r="H11" s="310">
        <v>1.32</v>
      </c>
      <c r="I11" s="310">
        <v>2</v>
      </c>
      <c r="J11" s="310">
        <f>C11/2</f>
        <v>273</v>
      </c>
      <c r="K11" s="429">
        <v>1</v>
      </c>
      <c r="L11" s="310"/>
      <c r="M11" s="310"/>
      <c r="N11" s="310"/>
      <c r="O11" s="310"/>
      <c r="P11" s="310"/>
      <c r="Q11" s="310"/>
      <c r="R11" s="310">
        <f>(G11/C11*F11*H11+J11/C11*I11*K11)/E11</f>
        <v>0.58000000000000007</v>
      </c>
      <c r="S11" s="310">
        <f>1551</f>
        <v>1551</v>
      </c>
      <c r="T11" s="310">
        <f>S11*R11*C11*E11</f>
        <v>1964682.7200000004</v>
      </c>
      <c r="U11" s="310">
        <f>T11*G17</f>
        <v>7681909.435200002</v>
      </c>
    </row>
    <row r="12" spans="1:21" s="84" customFormat="1" x14ac:dyDescent="0.25">
      <c r="A12" s="79" t="s">
        <v>713</v>
      </c>
      <c r="B12" s="309">
        <v>3</v>
      </c>
      <c r="C12" s="310">
        <v>220</v>
      </c>
      <c r="D12" s="310">
        <v>9130.4500000000007</v>
      </c>
      <c r="E12" s="310">
        <v>2</v>
      </c>
      <c r="F12" s="310">
        <v>1</v>
      </c>
      <c r="G12" s="310">
        <f>C12</f>
        <v>220</v>
      </c>
      <c r="H12" s="310">
        <v>1.32</v>
      </c>
      <c r="I12" s="310">
        <v>1</v>
      </c>
      <c r="J12" s="310">
        <f>C12</f>
        <v>220</v>
      </c>
      <c r="K12" s="429">
        <v>1</v>
      </c>
      <c r="L12" s="310"/>
      <c r="M12" s="310"/>
      <c r="N12" s="310"/>
      <c r="O12" s="310"/>
      <c r="P12" s="310"/>
      <c r="Q12" s="310"/>
      <c r="R12" s="310">
        <f>(G12/C12*F12*H12+J12/C12*I12*K12)/E12</f>
        <v>1.1600000000000001</v>
      </c>
      <c r="S12" s="310">
        <f>1551</f>
        <v>1551</v>
      </c>
      <c r="T12" s="310">
        <f>S12*R12*C12*E12</f>
        <v>791630.40000000014</v>
      </c>
      <c r="U12" s="310">
        <f>T12*G17</f>
        <v>3095274.8640000005</v>
      </c>
    </row>
    <row r="13" spans="1:21" x14ac:dyDescent="0.25">
      <c r="F13" s="811" t="s">
        <v>618</v>
      </c>
      <c r="G13" s="811"/>
      <c r="H13" s="811"/>
      <c r="I13" s="811" t="s">
        <v>619</v>
      </c>
      <c r="J13" s="811"/>
      <c r="K13" s="811"/>
      <c r="L13" s="811" t="s">
        <v>620</v>
      </c>
      <c r="M13" s="811"/>
      <c r="N13" s="811"/>
      <c r="O13" s="811" t="s">
        <v>621</v>
      </c>
      <c r="P13" s="811"/>
      <c r="Q13" s="811"/>
      <c r="R13" s="199" t="s">
        <v>614</v>
      </c>
      <c r="S13" s="199"/>
      <c r="T13" s="199"/>
      <c r="U13" s="199"/>
    </row>
    <row r="14" spans="1:21" s="308" customFormat="1" ht="96.75" customHeight="1" x14ac:dyDescent="0.25">
      <c r="A14" s="305"/>
      <c r="B14" s="305" t="s">
        <v>19</v>
      </c>
      <c r="C14" s="223" t="s">
        <v>602</v>
      </c>
      <c r="D14" s="306" t="s">
        <v>603</v>
      </c>
      <c r="E14" s="307" t="s">
        <v>604</v>
      </c>
      <c r="F14" s="433" t="s">
        <v>622</v>
      </c>
      <c r="G14" s="433" t="s">
        <v>606</v>
      </c>
      <c r="H14" s="434" t="s">
        <v>607</v>
      </c>
      <c r="I14" s="433" t="s">
        <v>623</v>
      </c>
      <c r="J14" s="433" t="s">
        <v>606</v>
      </c>
      <c r="K14" s="434" t="s">
        <v>607</v>
      </c>
      <c r="L14" s="433" t="s">
        <v>624</v>
      </c>
      <c r="M14" s="433" t="s">
        <v>606</v>
      </c>
      <c r="N14" s="434" t="s">
        <v>607</v>
      </c>
      <c r="O14" s="433" t="s">
        <v>625</v>
      </c>
      <c r="P14" s="433" t="s">
        <v>606</v>
      </c>
      <c r="Q14" s="434" t="s">
        <v>607</v>
      </c>
      <c r="R14" s="434" t="s">
        <v>613</v>
      </c>
      <c r="S14" s="223" t="s">
        <v>469</v>
      </c>
      <c r="T14" s="434" t="s">
        <v>616</v>
      </c>
      <c r="U14" s="434" t="s">
        <v>617</v>
      </c>
    </row>
    <row r="15" spans="1:21" x14ac:dyDescent="0.25">
      <c r="A15" s="75"/>
      <c r="B15" s="75" t="s">
        <v>118</v>
      </c>
      <c r="C15" s="76">
        <v>2</v>
      </c>
      <c r="D15" s="77">
        <v>3</v>
      </c>
      <c r="E15" s="78">
        <v>4</v>
      </c>
      <c r="F15" s="78">
        <v>5</v>
      </c>
      <c r="G15" s="78">
        <v>6</v>
      </c>
      <c r="H15" s="76">
        <v>7</v>
      </c>
      <c r="I15" s="77">
        <v>8</v>
      </c>
      <c r="J15" s="78">
        <v>9</v>
      </c>
      <c r="K15" s="78">
        <v>10</v>
      </c>
      <c r="L15" s="78">
        <v>11</v>
      </c>
      <c r="M15" s="78">
        <v>12</v>
      </c>
      <c r="N15" s="78">
        <v>13</v>
      </c>
      <c r="O15" s="78">
        <v>14</v>
      </c>
      <c r="P15" s="78">
        <v>15</v>
      </c>
      <c r="Q15" s="78">
        <v>16</v>
      </c>
      <c r="R15" s="78">
        <v>17</v>
      </c>
      <c r="S15" s="78">
        <v>18</v>
      </c>
      <c r="T15" s="78">
        <v>19</v>
      </c>
      <c r="U15" s="78">
        <v>20</v>
      </c>
    </row>
    <row r="16" spans="1:21" s="84" customFormat="1" x14ac:dyDescent="0.25">
      <c r="A16" s="79" t="s">
        <v>608</v>
      </c>
      <c r="B16" s="309">
        <v>4</v>
      </c>
      <c r="C16" s="310">
        <v>915</v>
      </c>
      <c r="D16" s="310">
        <v>722656.86</v>
      </c>
      <c r="E16" s="310">
        <v>25</v>
      </c>
      <c r="F16" s="310">
        <v>7</v>
      </c>
      <c r="G16" s="310">
        <v>131</v>
      </c>
      <c r="H16" s="436">
        <v>2.2448999999999999</v>
      </c>
      <c r="I16" s="310">
        <v>7</v>
      </c>
      <c r="J16" s="310">
        <v>131</v>
      </c>
      <c r="K16" s="429">
        <v>1.8340000000000001</v>
      </c>
      <c r="L16" s="310">
        <v>7</v>
      </c>
      <c r="M16" s="310">
        <v>131</v>
      </c>
      <c r="N16" s="435">
        <v>1.6636</v>
      </c>
      <c r="O16" s="310">
        <v>4</v>
      </c>
      <c r="P16" s="310">
        <v>229</v>
      </c>
      <c r="Q16" s="310">
        <v>1.4916</v>
      </c>
      <c r="R16" s="310">
        <f>(G16/C16*F16*H16+J16/C16*I16*K16+M16/C16*L16*N16+P16/C16*O16*Q16)/E16</f>
        <v>0.28993128306010924</v>
      </c>
      <c r="S16" s="310">
        <f>1551</f>
        <v>1551</v>
      </c>
      <c r="T16" s="310">
        <f>S16*R16*C16*E16</f>
        <v>10286508.233099999</v>
      </c>
      <c r="U16" s="310">
        <f>T16*G17</f>
        <v>40220247.191420995</v>
      </c>
    </row>
    <row r="17" spans="1:21" s="121" customFormat="1" x14ac:dyDescent="0.25">
      <c r="A17" s="437" t="s">
        <v>629</v>
      </c>
      <c r="B17" s="438"/>
      <c r="C17" s="432"/>
      <c r="D17" s="432"/>
      <c r="E17" s="432"/>
      <c r="F17" s="432"/>
      <c r="G17" s="430">
        <v>3.91</v>
      </c>
      <c r="H17" s="432"/>
      <c r="I17" s="439"/>
      <c r="J17" s="432"/>
      <c r="K17" s="432"/>
      <c r="L17" s="432"/>
    </row>
    <row r="18" spans="1:21" s="121" customFormat="1" x14ac:dyDescent="0.25">
      <c r="A18" s="440"/>
      <c r="B18" s="441"/>
      <c r="C18" s="442"/>
      <c r="D18" s="442"/>
      <c r="E18" s="442"/>
      <c r="F18" s="442"/>
      <c r="G18" s="431"/>
      <c r="H18" s="442"/>
      <c r="I18" s="443"/>
      <c r="J18" s="442"/>
      <c r="K18" s="442"/>
      <c r="L18" s="442"/>
    </row>
    <row r="19" spans="1:21" s="121" customFormat="1" x14ac:dyDescent="0.25">
      <c r="A19" s="863" t="s">
        <v>628</v>
      </c>
      <c r="B19" s="864"/>
      <c r="C19" s="864"/>
      <c r="D19" s="864"/>
      <c r="E19" s="864"/>
      <c r="F19" s="864"/>
      <c r="G19" s="864"/>
      <c r="H19" s="864"/>
      <c r="I19" s="864"/>
      <c r="J19" s="864"/>
      <c r="K19" s="864"/>
      <c r="L19" s="864"/>
      <c r="M19" s="864"/>
      <c r="N19" s="864"/>
      <c r="O19" s="864"/>
      <c r="P19" s="864"/>
      <c r="Q19" s="864"/>
      <c r="R19" s="864"/>
      <c r="S19" s="864"/>
      <c r="T19" s="864"/>
      <c r="U19" s="864"/>
    </row>
    <row r="20" spans="1:21" x14ac:dyDescent="0.25">
      <c r="A20" s="861" t="s">
        <v>626</v>
      </c>
      <c r="B20" s="862"/>
      <c r="C20" s="862"/>
      <c r="D20" s="862"/>
      <c r="E20" s="862"/>
      <c r="F20" s="862"/>
      <c r="G20" s="862"/>
      <c r="H20" s="862"/>
      <c r="I20" s="862"/>
      <c r="J20" s="862"/>
      <c r="K20" s="862"/>
      <c r="L20" s="862"/>
      <c r="M20" s="862"/>
      <c r="N20" s="862"/>
      <c r="O20" s="862"/>
      <c r="P20" s="862"/>
      <c r="Q20" s="862"/>
      <c r="R20" s="862"/>
      <c r="S20" s="862"/>
      <c r="T20" s="862"/>
      <c r="U20" s="862"/>
    </row>
    <row r="21" spans="1:21" x14ac:dyDescent="0.25">
      <c r="F21" s="811" t="s">
        <v>615</v>
      </c>
      <c r="G21" s="811"/>
      <c r="H21" s="811"/>
      <c r="I21" s="811" t="s">
        <v>609</v>
      </c>
      <c r="J21" s="811"/>
      <c r="K21" s="811"/>
      <c r="L21" s="811" t="s">
        <v>612</v>
      </c>
      <c r="M21" s="811"/>
      <c r="N21" s="811"/>
      <c r="O21" s="412"/>
      <c r="P21" s="412"/>
      <c r="Q21" s="412"/>
      <c r="R21" s="811" t="s">
        <v>614</v>
      </c>
      <c r="S21" s="811"/>
      <c r="T21" s="811"/>
      <c r="U21" s="811"/>
    </row>
    <row r="22" spans="1:21" s="308" customFormat="1" ht="96.75" customHeight="1" x14ac:dyDescent="0.25">
      <c r="A22" s="305"/>
      <c r="B22" s="305" t="s">
        <v>19</v>
      </c>
      <c r="C22" s="223" t="s">
        <v>602</v>
      </c>
      <c r="D22" s="306" t="s">
        <v>603</v>
      </c>
      <c r="E22" s="307" t="s">
        <v>604</v>
      </c>
      <c r="F22" s="433" t="s">
        <v>605</v>
      </c>
      <c r="G22" s="433" t="s">
        <v>606</v>
      </c>
      <c r="H22" s="434" t="s">
        <v>607</v>
      </c>
      <c r="I22" s="433" t="s">
        <v>610</v>
      </c>
      <c r="J22" s="433" t="s">
        <v>606</v>
      </c>
      <c r="K22" s="434" t="s">
        <v>607</v>
      </c>
      <c r="L22" s="433" t="s">
        <v>611</v>
      </c>
      <c r="M22" s="433" t="s">
        <v>606</v>
      </c>
      <c r="N22" s="434" t="s">
        <v>607</v>
      </c>
      <c r="O22" s="434"/>
      <c r="P22" s="434"/>
      <c r="Q22" s="434"/>
      <c r="R22" s="434" t="s">
        <v>613</v>
      </c>
      <c r="S22" s="223" t="s">
        <v>469</v>
      </c>
      <c r="T22" s="434" t="s">
        <v>616</v>
      </c>
      <c r="U22" s="434" t="s">
        <v>617</v>
      </c>
    </row>
    <row r="23" spans="1:21" x14ac:dyDescent="0.25">
      <c r="A23" s="75"/>
      <c r="B23" s="75" t="s">
        <v>118</v>
      </c>
      <c r="C23" s="76">
        <v>2</v>
      </c>
      <c r="D23" s="77">
        <v>3</v>
      </c>
      <c r="E23" s="78">
        <v>4</v>
      </c>
      <c r="F23" s="78">
        <v>5</v>
      </c>
      <c r="G23" s="78">
        <v>6</v>
      </c>
      <c r="H23" s="76">
        <v>7</v>
      </c>
      <c r="I23" s="77">
        <v>8</v>
      </c>
      <c r="J23" s="78">
        <v>9</v>
      </c>
      <c r="K23" s="78">
        <v>10</v>
      </c>
      <c r="L23" s="78">
        <v>11</v>
      </c>
      <c r="M23" s="78">
        <v>12</v>
      </c>
      <c r="N23" s="78">
        <v>13</v>
      </c>
      <c r="O23" s="78">
        <v>14</v>
      </c>
      <c r="P23" s="78">
        <v>15</v>
      </c>
      <c r="Q23" s="78">
        <v>16</v>
      </c>
      <c r="R23" s="78">
        <v>17</v>
      </c>
      <c r="S23" s="78">
        <v>18</v>
      </c>
      <c r="T23" s="78">
        <v>19</v>
      </c>
      <c r="U23" s="78">
        <v>20</v>
      </c>
    </row>
    <row r="24" spans="1:21" s="84" customFormat="1" x14ac:dyDescent="0.25">
      <c r="A24" s="79" t="s">
        <v>471</v>
      </c>
      <c r="B24" s="309">
        <v>1</v>
      </c>
      <c r="C24" s="310">
        <v>120</v>
      </c>
      <c r="D24" s="310" t="e">
        <f>(#REF!+#REF!)/'расчет 23'!J39</f>
        <v>#REF!</v>
      </c>
      <c r="E24" s="310">
        <v>2</v>
      </c>
      <c r="F24" s="310">
        <v>1</v>
      </c>
      <c r="G24" s="310">
        <v>120</v>
      </c>
      <c r="H24" s="310">
        <v>1.32</v>
      </c>
      <c r="I24" s="310">
        <v>1</v>
      </c>
      <c r="J24" s="310">
        <v>120</v>
      </c>
      <c r="K24" s="429">
        <v>1</v>
      </c>
      <c r="L24" s="310">
        <v>0</v>
      </c>
      <c r="M24" s="310">
        <f t="shared" ref="M24" si="2">I24*J24*K24*L24</f>
        <v>0</v>
      </c>
      <c r="N24" s="310">
        <f t="shared" ref="N24" si="3">J24*K24*L24*M24</f>
        <v>0</v>
      </c>
      <c r="O24" s="310"/>
      <c r="P24" s="310"/>
      <c r="Q24" s="310"/>
      <c r="R24" s="310">
        <f>(G24/C24*F24*H24+J24/C24*I24*K24)/E24</f>
        <v>1.1600000000000001</v>
      </c>
      <c r="S24" s="310">
        <f>1551</f>
        <v>1551</v>
      </c>
      <c r="T24" s="310">
        <f>S24*R24*C24*E24</f>
        <v>431798.40000000008</v>
      </c>
      <c r="U24" s="310">
        <f>ROUND(T24*J31,2)</f>
        <v>3132654.21</v>
      </c>
    </row>
    <row r="25" spans="1:21" s="84" customFormat="1" x14ac:dyDescent="0.25">
      <c r="A25" s="79" t="s">
        <v>712</v>
      </c>
      <c r="B25" s="309">
        <v>2</v>
      </c>
      <c r="C25" s="310">
        <v>210</v>
      </c>
      <c r="D25" s="310" t="e">
        <f>(#REF!/'расчет 23'!J31)</f>
        <v>#REF!</v>
      </c>
      <c r="E25" s="310">
        <v>4</v>
      </c>
      <c r="F25" s="310">
        <v>2</v>
      </c>
      <c r="G25" s="310">
        <v>210</v>
      </c>
      <c r="H25" s="310">
        <v>1.32</v>
      </c>
      <c r="I25" s="310">
        <v>2</v>
      </c>
      <c r="J25" s="310">
        <v>210</v>
      </c>
      <c r="K25" s="429">
        <v>1</v>
      </c>
      <c r="L25" s="310"/>
      <c r="M25" s="310"/>
      <c r="N25" s="310"/>
      <c r="O25" s="310"/>
      <c r="P25" s="310"/>
      <c r="Q25" s="310"/>
      <c r="R25" s="310">
        <f>(G25/C25*F25*H25+J25/C25*I25*K25)/E25</f>
        <v>1.1600000000000001</v>
      </c>
      <c r="S25" s="310">
        <f>1551</f>
        <v>1551</v>
      </c>
      <c r="T25" s="310">
        <f>S25*R25*C25*E25</f>
        <v>1511294.4000000004</v>
      </c>
      <c r="U25" s="310">
        <f>ROUND(T25*J31,2)</f>
        <v>10964289.74</v>
      </c>
    </row>
    <row r="26" spans="1:21" s="84" customFormat="1" x14ac:dyDescent="0.25">
      <c r="A26" s="79" t="s">
        <v>472</v>
      </c>
      <c r="B26" s="309">
        <v>3</v>
      </c>
      <c r="C26" s="310">
        <v>180</v>
      </c>
      <c r="D26" s="310" t="e">
        <f>#REF!/'расчет 23'!J39</f>
        <v>#REF!</v>
      </c>
      <c r="E26" s="310">
        <v>3</v>
      </c>
      <c r="F26" s="310">
        <v>1</v>
      </c>
      <c r="G26" s="310">
        <f>C26/2</f>
        <v>90</v>
      </c>
      <c r="H26" s="310">
        <v>1.32</v>
      </c>
      <c r="I26" s="310">
        <v>2</v>
      </c>
      <c r="J26" s="310">
        <f>C26/2</f>
        <v>90</v>
      </c>
      <c r="K26" s="429">
        <v>1</v>
      </c>
      <c r="L26" s="310"/>
      <c r="M26" s="310"/>
      <c r="N26" s="310"/>
      <c r="O26" s="310"/>
      <c r="P26" s="310"/>
      <c r="Q26" s="310"/>
      <c r="R26" s="310">
        <f>(G26/C26*F26*H26+J26/C26*I26*K26)/E26</f>
        <v>0.55333333333333334</v>
      </c>
      <c r="S26" s="310">
        <f>1551</f>
        <v>1551</v>
      </c>
      <c r="T26" s="310">
        <f>S26*R26*C26*E26</f>
        <v>463438.80000000005</v>
      </c>
      <c r="U26" s="310">
        <f>ROUND(T26*J31,2)</f>
        <v>3362202.15</v>
      </c>
    </row>
    <row r="27" spans="1:21" s="84" customFormat="1" x14ac:dyDescent="0.25">
      <c r="A27" s="79" t="s">
        <v>713</v>
      </c>
      <c r="B27" s="309">
        <v>4</v>
      </c>
      <c r="C27" s="310">
        <v>180</v>
      </c>
      <c r="D27" s="310" t="e">
        <f>(#REF!+#REF!)/'расчет 23'!J39</f>
        <v>#REF!</v>
      </c>
      <c r="E27" s="310">
        <v>2</v>
      </c>
      <c r="F27" s="310">
        <v>1</v>
      </c>
      <c r="G27" s="310">
        <f>C27</f>
        <v>180</v>
      </c>
      <c r="H27" s="310">
        <v>1.32</v>
      </c>
      <c r="I27" s="310">
        <v>1</v>
      </c>
      <c r="J27" s="310">
        <f>C27</f>
        <v>180</v>
      </c>
      <c r="K27" s="429">
        <v>1</v>
      </c>
      <c r="L27" s="310"/>
      <c r="M27" s="310"/>
      <c r="N27" s="310"/>
      <c r="O27" s="310"/>
      <c r="P27" s="310"/>
      <c r="Q27" s="310"/>
      <c r="R27" s="310">
        <f>(G27/C27*F27*H27+J27/C27*I27*K27)/E27</f>
        <v>1.1600000000000001</v>
      </c>
      <c r="S27" s="310">
        <f>1551</f>
        <v>1551</v>
      </c>
      <c r="T27" s="310">
        <f>S27*R27*C27*E27</f>
        <v>647697.60000000009</v>
      </c>
      <c r="U27" s="310">
        <f>ROUND(T27*J31,2)</f>
        <v>4698981.32</v>
      </c>
    </row>
    <row r="28" spans="1:21" s="84" customFormat="1" x14ac:dyDescent="0.25">
      <c r="A28" s="79" t="s">
        <v>711</v>
      </c>
      <c r="B28" s="309">
        <v>5</v>
      </c>
      <c r="C28" s="310">
        <v>365</v>
      </c>
      <c r="D28" s="310" t="e">
        <f>(#REF!+#REF!)/'расчет 23'!J31</f>
        <v>#REF!</v>
      </c>
      <c r="E28" s="310">
        <v>3</v>
      </c>
      <c r="F28" s="310">
        <v>1</v>
      </c>
      <c r="G28" s="310">
        <v>365</v>
      </c>
      <c r="H28" s="310">
        <v>1.32</v>
      </c>
      <c r="I28" s="310">
        <v>2</v>
      </c>
      <c r="J28" s="310">
        <v>365</v>
      </c>
      <c r="K28" s="429">
        <v>1</v>
      </c>
      <c r="L28" s="310"/>
      <c r="M28" s="310"/>
      <c r="N28" s="310"/>
      <c r="O28" s="310"/>
      <c r="P28" s="310"/>
      <c r="Q28" s="310"/>
      <c r="R28" s="310">
        <f>(G28/C28*F28*H28+J28/C28*I28*K28)/E28</f>
        <v>1.1066666666666667</v>
      </c>
      <c r="S28" s="310">
        <f>1551</f>
        <v>1551</v>
      </c>
      <c r="T28" s="310">
        <f>S28*R28*C28*E28</f>
        <v>1879501.7999999998</v>
      </c>
      <c r="U28" s="310">
        <f>ROUND(T28*J31,2)</f>
        <v>13635597.609999999</v>
      </c>
    </row>
    <row r="29" spans="1:21" s="84" customFormat="1" x14ac:dyDescent="0.25">
      <c r="A29" s="437" t="s">
        <v>631</v>
      </c>
      <c r="B29" s="309"/>
      <c r="C29" s="310"/>
      <c r="D29" s="310"/>
      <c r="E29" s="310"/>
      <c r="F29" s="310"/>
      <c r="G29" s="310"/>
      <c r="H29" s="310"/>
      <c r="I29" s="310"/>
      <c r="J29" s="310"/>
      <c r="K29" s="429"/>
      <c r="L29" s="310"/>
      <c r="M29" s="310"/>
      <c r="N29" s="310"/>
      <c r="O29" s="310"/>
      <c r="P29" s="310"/>
      <c r="Q29" s="310"/>
      <c r="R29" s="310"/>
      <c r="S29" s="310"/>
      <c r="T29" s="310"/>
      <c r="U29" s="432">
        <f>SUM(U24:U28)</f>
        <v>35793725.030000001</v>
      </c>
    </row>
    <row r="30" spans="1:21" s="605" customFormat="1" x14ac:dyDescent="0.25">
      <c r="A30" s="601" t="s">
        <v>630</v>
      </c>
      <c r="B30" s="602"/>
      <c r="C30" s="603"/>
      <c r="D30" s="603"/>
      <c r="E30" s="603"/>
      <c r="F30" s="603"/>
      <c r="G30" s="604">
        <v>4.1379999999999999</v>
      </c>
      <c r="H30" s="603"/>
      <c r="I30" s="603"/>
      <c r="J30" s="603"/>
      <c r="K30" s="603"/>
      <c r="L30" s="603"/>
    </row>
    <row r="31" spans="1:21" x14ac:dyDescent="0.25">
      <c r="A31" s="99" t="s">
        <v>735</v>
      </c>
      <c r="J31" s="53">
        <f>'[16]таблица 1'!$G$42</f>
        <v>7.2549000000000001</v>
      </c>
    </row>
    <row r="32" spans="1:21" x14ac:dyDescent="0.25">
      <c r="A32" s="861" t="s">
        <v>627</v>
      </c>
      <c r="B32" s="862"/>
      <c r="C32" s="862"/>
      <c r="D32" s="862"/>
      <c r="E32" s="862"/>
      <c r="F32" s="862"/>
      <c r="G32" s="862"/>
      <c r="H32" s="862"/>
      <c r="I32" s="862"/>
      <c r="J32" s="862"/>
      <c r="K32" s="862"/>
      <c r="L32" s="862"/>
      <c r="M32" s="862"/>
      <c r="N32" s="862"/>
      <c r="O32" s="862"/>
      <c r="P32" s="862"/>
      <c r="Q32" s="862"/>
      <c r="R32" s="862"/>
      <c r="S32" s="862"/>
      <c r="T32" s="862"/>
      <c r="U32" s="862"/>
    </row>
    <row r="33" spans="1:21" x14ac:dyDescent="0.25">
      <c r="F33" s="811" t="s">
        <v>618</v>
      </c>
      <c r="G33" s="811"/>
      <c r="H33" s="811"/>
      <c r="I33" s="811" t="s">
        <v>619</v>
      </c>
      <c r="J33" s="811"/>
      <c r="K33" s="811"/>
      <c r="L33" s="811" t="s">
        <v>620</v>
      </c>
      <c r="M33" s="811"/>
      <c r="N33" s="811"/>
      <c r="O33" s="811" t="s">
        <v>621</v>
      </c>
      <c r="P33" s="811"/>
      <c r="Q33" s="811"/>
      <c r="R33" s="199" t="s">
        <v>614</v>
      </c>
      <c r="S33" s="199"/>
      <c r="T33" s="199"/>
      <c r="U33" s="199"/>
    </row>
    <row r="34" spans="1:21" s="308" customFormat="1" ht="96.75" customHeight="1" x14ac:dyDescent="0.25">
      <c r="A34" s="305"/>
      <c r="B34" s="305" t="s">
        <v>19</v>
      </c>
      <c r="C34" s="223" t="s">
        <v>602</v>
      </c>
      <c r="D34" s="306" t="s">
        <v>603</v>
      </c>
      <c r="E34" s="307" t="s">
        <v>604</v>
      </c>
      <c r="F34" s="433" t="s">
        <v>622</v>
      </c>
      <c r="G34" s="433" t="s">
        <v>606</v>
      </c>
      <c r="H34" s="434" t="s">
        <v>607</v>
      </c>
      <c r="I34" s="433" t="s">
        <v>623</v>
      </c>
      <c r="J34" s="433" t="s">
        <v>606</v>
      </c>
      <c r="K34" s="434" t="s">
        <v>607</v>
      </c>
      <c r="L34" s="433" t="s">
        <v>624</v>
      </c>
      <c r="M34" s="433" t="s">
        <v>606</v>
      </c>
      <c r="N34" s="434" t="s">
        <v>607</v>
      </c>
      <c r="O34" s="433" t="s">
        <v>625</v>
      </c>
      <c r="P34" s="433" t="s">
        <v>606</v>
      </c>
      <c r="Q34" s="434" t="s">
        <v>607</v>
      </c>
      <c r="R34" s="434" t="s">
        <v>613</v>
      </c>
      <c r="S34" s="223" t="s">
        <v>469</v>
      </c>
      <c r="T34" s="434" t="s">
        <v>616</v>
      </c>
      <c r="U34" s="434" t="s">
        <v>617</v>
      </c>
    </row>
    <row r="35" spans="1:21" x14ac:dyDescent="0.25">
      <c r="A35" s="75"/>
      <c r="B35" s="75" t="s">
        <v>118</v>
      </c>
      <c r="C35" s="76">
        <v>2</v>
      </c>
      <c r="D35" s="77">
        <v>3</v>
      </c>
      <c r="E35" s="78">
        <v>4</v>
      </c>
      <c r="F35" s="78">
        <v>5</v>
      </c>
      <c r="G35" s="78">
        <v>6</v>
      </c>
      <c r="H35" s="76">
        <v>7</v>
      </c>
      <c r="I35" s="77">
        <v>8</v>
      </c>
      <c r="J35" s="78">
        <v>9</v>
      </c>
      <c r="K35" s="78">
        <v>10</v>
      </c>
      <c r="L35" s="78">
        <v>11</v>
      </c>
      <c r="M35" s="78">
        <v>12</v>
      </c>
      <c r="N35" s="78">
        <v>13</v>
      </c>
      <c r="O35" s="78">
        <v>14</v>
      </c>
      <c r="P35" s="78">
        <v>15</v>
      </c>
      <c r="Q35" s="78">
        <v>16</v>
      </c>
      <c r="R35" s="78">
        <v>17</v>
      </c>
      <c r="S35" s="78">
        <v>18</v>
      </c>
      <c r="T35" s="78">
        <v>19</v>
      </c>
      <c r="U35" s="78">
        <v>20</v>
      </c>
    </row>
    <row r="36" spans="1:21" s="84" customFormat="1" x14ac:dyDescent="0.25">
      <c r="A36" s="79" t="s">
        <v>608</v>
      </c>
      <c r="B36" s="309">
        <v>4</v>
      </c>
      <c r="C36" s="310">
        <v>365</v>
      </c>
      <c r="D36" s="310" t="e">
        <f>(#REF!+#REF!+#REF!)/'расчет 23'!J39</f>
        <v>#REF!</v>
      </c>
      <c r="E36" s="310">
        <v>25</v>
      </c>
      <c r="F36" s="310">
        <v>2</v>
      </c>
      <c r="G36" s="310">
        <f>C36/2</f>
        <v>182.5</v>
      </c>
      <c r="H36" s="436">
        <v>2.2448999999999999</v>
      </c>
      <c r="I36" s="310">
        <v>2</v>
      </c>
      <c r="J36" s="310">
        <f>C36/2</f>
        <v>182.5</v>
      </c>
      <c r="K36" s="429">
        <v>1.8340000000000001</v>
      </c>
      <c r="L36" s="310">
        <v>2</v>
      </c>
      <c r="M36" s="310">
        <f>C36/2</f>
        <v>182.5</v>
      </c>
      <c r="N36" s="435">
        <v>1.6636</v>
      </c>
      <c r="O36" s="310">
        <v>3</v>
      </c>
      <c r="P36" s="310">
        <f>C36</f>
        <v>365</v>
      </c>
      <c r="Q36" s="310">
        <v>1.4916</v>
      </c>
      <c r="R36" s="310">
        <f>(G36/C36*F36*H36+J36/C36*I36*K36+M36/C36*L36*N36+P36/C36*O36*Q36)/E36</f>
        <v>0.408692</v>
      </c>
      <c r="S36" s="310">
        <f>1551</f>
        <v>1551</v>
      </c>
      <c r="T36" s="310">
        <f>S36*R36*C36*E36</f>
        <v>5784166.7895000009</v>
      </c>
      <c r="U36" s="432">
        <f>ROUND(T36*J39,2)</f>
        <v>41963551.640000001</v>
      </c>
    </row>
    <row r="37" spans="1:21" s="84" customFormat="1" x14ac:dyDescent="0.25">
      <c r="A37" s="437" t="s">
        <v>736</v>
      </c>
      <c r="B37" s="309"/>
      <c r="C37" s="310"/>
      <c r="D37" s="310"/>
      <c r="E37" s="310"/>
      <c r="F37" s="310"/>
      <c r="G37" s="310"/>
      <c r="H37" s="310"/>
      <c r="I37" s="310"/>
      <c r="J37" s="310"/>
      <c r="K37" s="429"/>
      <c r="L37" s="310"/>
      <c r="M37" s="310"/>
      <c r="N37" s="310"/>
      <c r="O37" s="310"/>
      <c r="P37" s="310"/>
      <c r="Q37" s="310"/>
      <c r="R37" s="310"/>
      <c r="S37" s="310"/>
      <c r="T37" s="310"/>
      <c r="U37" s="432"/>
    </row>
    <row r="38" spans="1:21" s="605" customFormat="1" x14ac:dyDescent="0.25">
      <c r="A38" s="601" t="s">
        <v>630</v>
      </c>
      <c r="B38" s="602"/>
      <c r="C38" s="603"/>
      <c r="D38" s="603"/>
      <c r="E38" s="603"/>
      <c r="F38" s="603"/>
      <c r="G38" s="604">
        <v>4.1379999999999999</v>
      </c>
      <c r="H38" s="603"/>
      <c r="I38" s="603"/>
      <c r="J38" s="603"/>
      <c r="K38" s="603"/>
      <c r="L38" s="603"/>
    </row>
    <row r="39" spans="1:21" x14ac:dyDescent="0.25">
      <c r="A39" s="99" t="s">
        <v>735</v>
      </c>
      <c r="J39" s="53">
        <f>'[16]таблица 1'!$G$42</f>
        <v>7.2549000000000001</v>
      </c>
    </row>
    <row r="40" spans="1:21" x14ac:dyDescent="0.25">
      <c r="A40" s="861" t="s">
        <v>626</v>
      </c>
      <c r="B40" s="862"/>
      <c r="C40" s="862"/>
      <c r="D40" s="862"/>
      <c r="E40" s="862"/>
      <c r="F40" s="862"/>
      <c r="G40" s="862"/>
      <c r="H40" s="862"/>
      <c r="I40" s="862"/>
      <c r="J40" s="862"/>
      <c r="K40" s="862"/>
      <c r="L40" s="862"/>
      <c r="M40" s="862"/>
      <c r="N40" s="862"/>
      <c r="O40" s="862"/>
      <c r="P40" s="862"/>
      <c r="Q40" s="862"/>
      <c r="R40" s="862"/>
      <c r="S40" s="862"/>
      <c r="T40" s="862"/>
      <c r="U40" s="862"/>
    </row>
    <row r="41" spans="1:21" x14ac:dyDescent="0.25">
      <c r="F41" s="811" t="s">
        <v>615</v>
      </c>
      <c r="G41" s="811"/>
      <c r="H41" s="811"/>
      <c r="I41" s="811" t="s">
        <v>609</v>
      </c>
      <c r="J41" s="811"/>
      <c r="K41" s="811"/>
      <c r="L41" s="811" t="s">
        <v>612</v>
      </c>
      <c r="M41" s="811"/>
      <c r="N41" s="811"/>
      <c r="O41" s="412"/>
      <c r="P41" s="412"/>
      <c r="Q41" s="412"/>
      <c r="R41" s="811" t="s">
        <v>614</v>
      </c>
      <c r="S41" s="811"/>
      <c r="T41" s="811"/>
      <c r="U41" s="811"/>
    </row>
    <row r="42" spans="1:21" s="308" customFormat="1" ht="96.75" customHeight="1" x14ac:dyDescent="0.25">
      <c r="A42" s="305"/>
      <c r="B42" s="305" t="s">
        <v>19</v>
      </c>
      <c r="C42" s="223" t="s">
        <v>602</v>
      </c>
      <c r="D42" s="306" t="s">
        <v>603</v>
      </c>
      <c r="E42" s="307" t="s">
        <v>604</v>
      </c>
      <c r="F42" s="433" t="s">
        <v>605</v>
      </c>
      <c r="G42" s="433" t="s">
        <v>606</v>
      </c>
      <c r="H42" s="434" t="s">
        <v>607</v>
      </c>
      <c r="I42" s="433" t="s">
        <v>610</v>
      </c>
      <c r="J42" s="433" t="s">
        <v>606</v>
      </c>
      <c r="K42" s="434" t="s">
        <v>607</v>
      </c>
      <c r="L42" s="433" t="s">
        <v>611</v>
      </c>
      <c r="M42" s="433" t="s">
        <v>606</v>
      </c>
      <c r="N42" s="434" t="s">
        <v>607</v>
      </c>
      <c r="O42" s="434"/>
      <c r="P42" s="434"/>
      <c r="Q42" s="434"/>
      <c r="R42" s="434" t="s">
        <v>613</v>
      </c>
      <c r="S42" s="223" t="s">
        <v>469</v>
      </c>
      <c r="T42" s="434" t="s">
        <v>616</v>
      </c>
      <c r="U42" s="434" t="s">
        <v>617</v>
      </c>
    </row>
    <row r="43" spans="1:21" x14ac:dyDescent="0.25">
      <c r="A43" s="75"/>
      <c r="B43" s="75" t="s">
        <v>118</v>
      </c>
      <c r="C43" s="76">
        <v>2</v>
      </c>
      <c r="D43" s="77">
        <v>3</v>
      </c>
      <c r="E43" s="78">
        <v>4</v>
      </c>
      <c r="F43" s="78">
        <v>5</v>
      </c>
      <c r="G43" s="78">
        <v>6</v>
      </c>
      <c r="H43" s="76">
        <v>7</v>
      </c>
      <c r="I43" s="77">
        <v>8</v>
      </c>
      <c r="J43" s="78">
        <v>9</v>
      </c>
      <c r="K43" s="78">
        <v>10</v>
      </c>
      <c r="L43" s="78">
        <v>11</v>
      </c>
      <c r="M43" s="78">
        <v>12</v>
      </c>
      <c r="N43" s="78">
        <v>13</v>
      </c>
      <c r="O43" s="78">
        <v>14</v>
      </c>
      <c r="P43" s="78">
        <v>15</v>
      </c>
      <c r="Q43" s="78">
        <v>16</v>
      </c>
      <c r="R43" s="78">
        <v>17</v>
      </c>
      <c r="S43" s="78">
        <v>18</v>
      </c>
      <c r="T43" s="78">
        <v>19</v>
      </c>
      <c r="U43" s="78">
        <v>20</v>
      </c>
    </row>
    <row r="44" spans="1:21" s="84" customFormat="1" x14ac:dyDescent="0.25">
      <c r="A44" s="79" t="s">
        <v>470</v>
      </c>
      <c r="B44" s="309">
        <v>3</v>
      </c>
      <c r="C44" s="310">
        <v>60</v>
      </c>
      <c r="D44" s="310" t="e">
        <f>#REF!/'расчет 23'!J47</f>
        <v>#REF!</v>
      </c>
      <c r="E44" s="310">
        <v>1</v>
      </c>
      <c r="F44" s="310">
        <v>0</v>
      </c>
      <c r="G44" s="310">
        <v>0</v>
      </c>
      <c r="H44" s="310">
        <v>0</v>
      </c>
      <c r="I44" s="310">
        <v>1</v>
      </c>
      <c r="J44" s="310">
        <f>C44</f>
        <v>60</v>
      </c>
      <c r="K44" s="429">
        <v>1</v>
      </c>
      <c r="L44" s="310"/>
      <c r="M44" s="310"/>
      <c r="N44" s="310"/>
      <c r="O44" s="310"/>
      <c r="P44" s="310"/>
      <c r="Q44" s="310"/>
      <c r="R44" s="310">
        <f>(G44/C44*F44*H44+J44/C44*I44*K44)/E44</f>
        <v>1</v>
      </c>
      <c r="S44" s="310">
        <f>1551</f>
        <v>1551</v>
      </c>
      <c r="T44" s="310">
        <f>S44*R44*C44*E44</f>
        <v>93060</v>
      </c>
      <c r="U44" s="310">
        <f>ROUND(T44*J47,2)</f>
        <v>675140.99</v>
      </c>
    </row>
    <row r="45" spans="1:21" s="84" customFormat="1" x14ac:dyDescent="0.25">
      <c r="A45" s="437" t="s">
        <v>737</v>
      </c>
      <c r="B45" s="309"/>
      <c r="C45" s="310"/>
      <c r="D45" s="310"/>
      <c r="E45" s="310"/>
      <c r="F45" s="310"/>
      <c r="G45" s="310"/>
      <c r="H45" s="310"/>
      <c r="I45" s="310"/>
      <c r="J45" s="310"/>
      <c r="K45" s="429"/>
      <c r="L45" s="310"/>
      <c r="M45" s="310"/>
      <c r="N45" s="310"/>
      <c r="O45" s="310"/>
      <c r="P45" s="310"/>
      <c r="Q45" s="310"/>
      <c r="R45" s="310"/>
      <c r="S45" s="310"/>
      <c r="T45" s="310"/>
      <c r="U45" s="432">
        <f>SUM(U44:U44)</f>
        <v>675140.99</v>
      </c>
    </row>
    <row r="46" spans="1:21" s="605" customFormat="1" x14ac:dyDescent="0.25">
      <c r="A46" s="601" t="s">
        <v>630</v>
      </c>
      <c r="B46" s="602"/>
      <c r="C46" s="603"/>
      <c r="D46" s="603"/>
      <c r="E46" s="603"/>
      <c r="F46" s="603"/>
      <c r="G46" s="604">
        <v>4.1379999999999999</v>
      </c>
      <c r="H46" s="603"/>
      <c r="I46" s="603"/>
      <c r="J46" s="603"/>
      <c r="K46" s="603"/>
      <c r="L46" s="603"/>
    </row>
    <row r="47" spans="1:21" x14ac:dyDescent="0.25">
      <c r="A47" s="99" t="s">
        <v>735</v>
      </c>
      <c r="J47" s="53">
        <f>'[16]таблица 1'!$G$42</f>
        <v>7.2549000000000001</v>
      </c>
    </row>
  </sheetData>
  <mergeCells count="29">
    <mergeCell ref="O33:Q33"/>
    <mergeCell ref="A32:U32"/>
    <mergeCell ref="A19:U19"/>
    <mergeCell ref="A40:U40"/>
    <mergeCell ref="F41:H41"/>
    <mergeCell ref="I41:K41"/>
    <mergeCell ref="L41:N41"/>
    <mergeCell ref="R41:U41"/>
    <mergeCell ref="F33:H33"/>
    <mergeCell ref="I33:K33"/>
    <mergeCell ref="L33:N33"/>
    <mergeCell ref="A20:U20"/>
    <mergeCell ref="F21:H21"/>
    <mergeCell ref="I21:K21"/>
    <mergeCell ref="L21:N21"/>
    <mergeCell ref="R21:U21"/>
    <mergeCell ref="R7:U7"/>
    <mergeCell ref="F13:H13"/>
    <mergeCell ref="I13:K13"/>
    <mergeCell ref="L13:N13"/>
    <mergeCell ref="O13:Q13"/>
    <mergeCell ref="F7:H7"/>
    <mergeCell ref="I7:K7"/>
    <mergeCell ref="L7:N7"/>
    <mergeCell ref="B5:L5"/>
    <mergeCell ref="A1:U1"/>
    <mergeCell ref="A3:U3"/>
    <mergeCell ref="A4:U4"/>
    <mergeCell ref="A6:U6"/>
  </mergeCells>
  <pageMargins left="0.39370078740157483" right="0.39370078740157483" top="0.59055118110236227" bottom="0.39370078740157483" header="0" footer="0"/>
  <pageSetup paperSize="9" scale="44" fitToHeight="10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5" tint="0.39997558519241921"/>
  </sheetPr>
  <dimension ref="A1:L24"/>
  <sheetViews>
    <sheetView zoomScale="80" zoomScaleNormal="80" workbookViewId="0">
      <selection sqref="A1:G1"/>
    </sheetView>
  </sheetViews>
  <sheetFormatPr defaultColWidth="9.140625" defaultRowHeight="15" x14ac:dyDescent="0.25"/>
  <cols>
    <col min="1" max="1" width="9.140625" style="1"/>
    <col min="2" max="2" width="19.5703125" style="1" customWidth="1"/>
    <col min="3" max="3" width="56.5703125" style="1" customWidth="1"/>
    <col min="4" max="4" width="16" style="7" customWidth="1"/>
    <col min="5" max="5" width="14.5703125" style="7" customWidth="1"/>
    <col min="6" max="6" width="14.28515625" style="7" customWidth="1"/>
    <col min="7" max="7" width="11.7109375" style="7" customWidth="1"/>
    <col min="8" max="16384" width="9.140625" style="1"/>
  </cols>
  <sheetData>
    <row r="1" spans="1:12" s="52" customFormat="1" ht="89.25" customHeight="1" x14ac:dyDescent="0.25">
      <c r="A1" s="776"/>
      <c r="B1" s="776"/>
      <c r="C1" s="776"/>
      <c r="D1" s="776"/>
      <c r="E1" s="776"/>
      <c r="F1" s="776"/>
      <c r="G1" s="776"/>
      <c r="H1" s="537"/>
      <c r="I1" s="226"/>
      <c r="J1" s="226"/>
      <c r="K1" s="226"/>
      <c r="L1" s="226"/>
    </row>
    <row r="2" spans="1:12" s="49" customFormat="1" ht="15.75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ht="15.75" x14ac:dyDescent="0.25">
      <c r="A3" s="746" t="s">
        <v>595</v>
      </c>
      <c r="B3" s="747"/>
      <c r="C3" s="747"/>
      <c r="D3" s="747"/>
      <c r="E3" s="747"/>
      <c r="F3" s="747"/>
      <c r="G3" s="747"/>
      <c r="H3" s="52"/>
      <c r="I3" s="227"/>
      <c r="J3" s="227"/>
      <c r="K3" s="227"/>
      <c r="L3" s="227"/>
    </row>
    <row r="5" spans="1:12" x14ac:dyDescent="0.25">
      <c r="A5" s="865" t="s">
        <v>670</v>
      </c>
      <c r="B5" s="865"/>
      <c r="C5" s="865"/>
      <c r="D5" s="865"/>
      <c r="E5" s="865"/>
      <c r="F5" s="865"/>
      <c r="G5" s="865"/>
    </row>
    <row r="7" spans="1:12" x14ac:dyDescent="0.25">
      <c r="C7" s="6" t="s">
        <v>782</v>
      </c>
    </row>
    <row r="8" spans="1:12" x14ac:dyDescent="0.25">
      <c r="C8" s="8"/>
    </row>
    <row r="9" spans="1:12" x14ac:dyDescent="0.25">
      <c r="C9" s="1" t="s">
        <v>42</v>
      </c>
      <c r="D9" s="7">
        <f>636.48+318.2</f>
        <v>954.68000000000006</v>
      </c>
      <c r="E9" s="9" t="s">
        <v>41</v>
      </c>
    </row>
    <row r="10" spans="1:12" ht="30" x14ac:dyDescent="0.25">
      <c r="A10" s="367" t="s">
        <v>33</v>
      </c>
      <c r="B10" s="428" t="s">
        <v>668</v>
      </c>
      <c r="C10" s="428" t="s">
        <v>32</v>
      </c>
      <c r="D10" s="368" t="s">
        <v>29</v>
      </c>
      <c r="E10" s="368" t="s">
        <v>12</v>
      </c>
      <c r="F10" s="368" t="s">
        <v>13</v>
      </c>
      <c r="G10" s="369" t="s">
        <v>44</v>
      </c>
    </row>
    <row r="11" spans="1:12" x14ac:dyDescent="0.25">
      <c r="A11" s="365" t="s">
        <v>34</v>
      </c>
      <c r="B11" s="47" t="s">
        <v>23</v>
      </c>
      <c r="C11" s="47" t="s">
        <v>25</v>
      </c>
      <c r="D11" s="48">
        <f>259357.49+3.43</f>
        <v>259360.91999999998</v>
      </c>
      <c r="E11" s="48"/>
      <c r="F11" s="48">
        <v>14930.85</v>
      </c>
      <c r="G11" s="366">
        <f>D11+E11+F11</f>
        <v>274291.76999999996</v>
      </c>
    </row>
    <row r="12" spans="1:12" x14ac:dyDescent="0.25">
      <c r="A12" s="42" t="s">
        <v>34</v>
      </c>
      <c r="B12" s="3" t="s">
        <v>24</v>
      </c>
      <c r="C12" s="3" t="s">
        <v>26</v>
      </c>
      <c r="D12" s="40">
        <v>31355.56</v>
      </c>
      <c r="E12" s="40"/>
      <c r="F12" s="40"/>
      <c r="G12" s="360">
        <f t="shared" ref="G12:G19" si="0">D12+E12+F12</f>
        <v>31355.56</v>
      </c>
    </row>
    <row r="13" spans="1:12" x14ac:dyDescent="0.25">
      <c r="A13" s="42" t="s">
        <v>34</v>
      </c>
      <c r="B13" s="3" t="s">
        <v>27</v>
      </c>
      <c r="C13" s="3" t="s">
        <v>28</v>
      </c>
      <c r="D13" s="40">
        <v>149.83000000000001</v>
      </c>
      <c r="E13" s="40"/>
      <c r="F13" s="40"/>
      <c r="G13" s="360">
        <f t="shared" si="0"/>
        <v>149.83000000000001</v>
      </c>
    </row>
    <row r="14" spans="1:12" x14ac:dyDescent="0.25">
      <c r="A14" s="42" t="s">
        <v>34</v>
      </c>
      <c r="B14" s="3" t="s">
        <v>30</v>
      </c>
      <c r="C14" s="3" t="s">
        <v>1</v>
      </c>
      <c r="D14" s="40">
        <v>50001.45</v>
      </c>
      <c r="E14" s="40"/>
      <c r="F14" s="40"/>
      <c r="G14" s="360">
        <f t="shared" si="0"/>
        <v>50001.45</v>
      </c>
    </row>
    <row r="15" spans="1:12" s="8" customFormat="1" x14ac:dyDescent="0.25">
      <c r="A15" s="361"/>
      <c r="B15" s="4"/>
      <c r="C15" s="4" t="s">
        <v>31</v>
      </c>
      <c r="D15" s="356">
        <f>SUM(D11:D14)</f>
        <v>340867.76</v>
      </c>
      <c r="E15" s="356">
        <f t="shared" ref="E15:G15" si="1">SUM(E11:E14)</f>
        <v>0</v>
      </c>
      <c r="F15" s="356">
        <f t="shared" si="1"/>
        <v>14930.85</v>
      </c>
      <c r="G15" s="362">
        <f t="shared" si="1"/>
        <v>355798.61</v>
      </c>
    </row>
    <row r="16" spans="1:12" x14ac:dyDescent="0.25">
      <c r="A16" s="42"/>
      <c r="B16" s="3"/>
      <c r="C16" s="3" t="s">
        <v>39</v>
      </c>
      <c r="D16" s="40">
        <f>D15*0.029</f>
        <v>9885.1650399999999</v>
      </c>
      <c r="E16" s="40"/>
      <c r="F16" s="40"/>
      <c r="G16" s="360">
        <f t="shared" ref="G16:G18" si="2">D16+E16+F16</f>
        <v>9885.1650399999999</v>
      </c>
    </row>
    <row r="17" spans="1:8" x14ac:dyDescent="0.25">
      <c r="A17" s="42"/>
      <c r="B17" s="3"/>
      <c r="C17" s="3" t="s">
        <v>40</v>
      </c>
      <c r="D17" s="40">
        <f>D15*0.02</f>
        <v>6817.3552</v>
      </c>
      <c r="E17" s="40"/>
      <c r="F17" s="40"/>
      <c r="G17" s="360">
        <f t="shared" si="2"/>
        <v>6817.3552</v>
      </c>
    </row>
    <row r="18" spans="1:8" x14ac:dyDescent="0.25">
      <c r="A18" s="42"/>
      <c r="B18" s="3"/>
      <c r="C18" s="3" t="s">
        <v>38</v>
      </c>
      <c r="D18" s="40">
        <f>D15*0.048</f>
        <v>16361.652480000001</v>
      </c>
      <c r="E18" s="40"/>
      <c r="F18" s="40"/>
      <c r="G18" s="360">
        <f t="shared" si="2"/>
        <v>16361.652480000001</v>
      </c>
    </row>
    <row r="19" spans="1:8" x14ac:dyDescent="0.25">
      <c r="A19" s="42" t="s">
        <v>35</v>
      </c>
      <c r="B19" s="3" t="s">
        <v>36</v>
      </c>
      <c r="C19" s="3" t="s">
        <v>37</v>
      </c>
      <c r="D19" s="40">
        <v>1522.28</v>
      </c>
      <c r="E19" s="40"/>
      <c r="F19" s="40">
        <v>403.1</v>
      </c>
      <c r="G19" s="360">
        <f t="shared" si="0"/>
        <v>1925.38</v>
      </c>
    </row>
    <row r="20" spans="1:8" s="5" customFormat="1" ht="14.25" x14ac:dyDescent="0.25">
      <c r="A20" s="363"/>
      <c r="B20" s="357"/>
      <c r="C20" s="357" t="s">
        <v>43</v>
      </c>
      <c r="D20" s="41">
        <f>D15+D16+D17+D18+D19</f>
        <v>375454.21272000001</v>
      </c>
      <c r="E20" s="41">
        <f t="shared" ref="E20:G20" si="3">E15+E16+E17+E18+E19</f>
        <v>0</v>
      </c>
      <c r="F20" s="41">
        <f t="shared" si="3"/>
        <v>15333.95</v>
      </c>
      <c r="G20" s="364">
        <f t="shared" si="3"/>
        <v>390788.16271999996</v>
      </c>
    </row>
    <row r="21" spans="1:8" s="591" customFormat="1" ht="14.25" x14ac:dyDescent="0.25">
      <c r="A21" s="587"/>
      <c r="B21" s="588"/>
      <c r="C21" s="588" t="s">
        <v>596</v>
      </c>
      <c r="D21" s="589"/>
      <c r="E21" s="589"/>
      <c r="F21" s="589"/>
      <c r="G21" s="590"/>
    </row>
    <row r="22" spans="1:8" s="595" customFormat="1" x14ac:dyDescent="0.25">
      <c r="A22" s="592"/>
      <c r="B22" s="593"/>
      <c r="C22" s="593" t="s">
        <v>732</v>
      </c>
      <c r="D22" s="560"/>
      <c r="E22" s="560"/>
      <c r="F22" s="560"/>
      <c r="G22" s="594">
        <f>ROUND(G20*H22,2)</f>
        <v>443310.09</v>
      </c>
      <c r="H22" s="595">
        <f>[16]МГЭ!$I$12</f>
        <v>1.1344000000000001</v>
      </c>
    </row>
    <row r="23" spans="1:8" x14ac:dyDescent="0.25">
      <c r="A23" s="42"/>
      <c r="B23" s="3"/>
      <c r="C23" s="3" t="s">
        <v>87</v>
      </c>
      <c r="D23" s="40"/>
      <c r="E23" s="40"/>
      <c r="F23" s="40"/>
      <c r="G23" s="360">
        <f>ROUND(G22*1.02,2)</f>
        <v>452176.29</v>
      </c>
    </row>
    <row r="24" spans="1:8" x14ac:dyDescent="0.25">
      <c r="A24" s="44"/>
      <c r="B24" s="427"/>
      <c r="C24" s="427" t="s">
        <v>45</v>
      </c>
      <c r="D24" s="45"/>
      <c r="E24" s="45"/>
      <c r="F24" s="45"/>
      <c r="G24" s="390">
        <f>G23/D9</f>
        <v>473.64173335567932</v>
      </c>
    </row>
  </sheetData>
  <mergeCells count="3">
    <mergeCell ref="A1:G1"/>
    <mergeCell ref="A3:G3"/>
    <mergeCell ref="A5:G5"/>
  </mergeCells>
  <pageMargins left="0.7" right="0.7" top="0.75" bottom="0.75" header="0.3" footer="0.3"/>
  <pageSetup paperSize="9" orientation="portrait" horizontalDpi="4294967293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5" tint="0.39997558519241921"/>
    <pageSetUpPr fitToPage="1"/>
  </sheetPr>
  <dimension ref="A1:R38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8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8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8" s="53" customFormat="1" x14ac:dyDescent="0.25">
      <c r="A3" s="746" t="s">
        <v>597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8" s="53" customFormat="1" ht="21" customHeight="1" x14ac:dyDescent="0.25">
      <c r="A4" s="748" t="s">
        <v>374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8" ht="30.75" customHeight="1" x14ac:dyDescent="0.25">
      <c r="A5" s="50" t="s">
        <v>20</v>
      </c>
      <c r="B5" s="820" t="s">
        <v>776</v>
      </c>
      <c r="C5" s="820"/>
      <c r="D5" s="820"/>
      <c r="E5" s="820"/>
      <c r="F5" s="820"/>
      <c r="G5" s="820"/>
      <c r="H5" s="820"/>
      <c r="I5" s="820"/>
      <c r="J5" s="820"/>
      <c r="K5" s="820"/>
      <c r="L5" s="820"/>
    </row>
    <row r="6" spans="1:18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8" x14ac:dyDescent="0.25">
      <c r="A7" s="55" t="s">
        <v>19</v>
      </c>
      <c r="B7" s="753"/>
      <c r="C7" s="754"/>
      <c r="D7" s="732" t="s">
        <v>373</v>
      </c>
      <c r="E7" s="733"/>
      <c r="F7" s="733"/>
      <c r="G7" s="733"/>
      <c r="H7" s="734"/>
      <c r="I7" s="753" t="s">
        <v>349</v>
      </c>
      <c r="J7" s="756"/>
      <c r="K7" s="756"/>
      <c r="L7" s="754"/>
    </row>
    <row r="8" spans="1:18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8" x14ac:dyDescent="0.25">
      <c r="A9" s="50" t="s">
        <v>102</v>
      </c>
      <c r="B9" s="721" t="s">
        <v>357</v>
      </c>
      <c r="C9" s="721"/>
      <c r="D9" s="774" t="s">
        <v>366</v>
      </c>
      <c r="E9" s="774"/>
      <c r="F9" s="774"/>
      <c r="G9" s="774"/>
      <c r="H9" s="774"/>
      <c r="I9" s="774" t="s">
        <v>358</v>
      </c>
      <c r="J9" s="774"/>
      <c r="K9" s="774"/>
      <c r="L9" s="775"/>
      <c r="M9" s="49" t="s">
        <v>342</v>
      </c>
    </row>
    <row r="10" spans="1:18" x14ac:dyDescent="0.25">
      <c r="A10" s="50" t="s">
        <v>354</v>
      </c>
      <c r="B10" s="49" t="s">
        <v>362</v>
      </c>
      <c r="C10" s="216"/>
      <c r="D10" s="222"/>
      <c r="E10" s="222"/>
      <c r="F10" s="222" t="s">
        <v>367</v>
      </c>
      <c r="G10" s="222"/>
      <c r="H10" s="222"/>
      <c r="I10" s="774" t="s">
        <v>359</v>
      </c>
      <c r="J10" s="774"/>
      <c r="K10" s="774"/>
      <c r="L10" s="775"/>
    </row>
    <row r="11" spans="1:18" x14ac:dyDescent="0.25">
      <c r="A11" s="50" t="s">
        <v>288</v>
      </c>
      <c r="B11" s="49" t="s">
        <v>363</v>
      </c>
      <c r="C11" s="216"/>
      <c r="D11" s="222"/>
      <c r="E11" s="222"/>
      <c r="F11" s="222" t="s">
        <v>368</v>
      </c>
      <c r="G11" s="222"/>
      <c r="H11" s="222"/>
      <c r="I11" s="774" t="s">
        <v>360</v>
      </c>
      <c r="J11" s="774"/>
      <c r="K11" s="774"/>
      <c r="L11" s="775"/>
    </row>
    <row r="12" spans="1:18" x14ac:dyDescent="0.25">
      <c r="A12" s="50" t="s">
        <v>355</v>
      </c>
      <c r="B12" s="49" t="s">
        <v>364</v>
      </c>
      <c r="C12" s="216"/>
      <c r="D12" s="222"/>
      <c r="E12" s="222"/>
      <c r="F12" s="222" t="s">
        <v>370</v>
      </c>
      <c r="G12" s="222"/>
      <c r="H12" s="222"/>
      <c r="I12" s="774" t="s">
        <v>361</v>
      </c>
      <c r="J12" s="774"/>
      <c r="K12" s="774"/>
      <c r="L12" s="775"/>
    </row>
    <row r="13" spans="1:18" x14ac:dyDescent="0.25">
      <c r="A13" s="50" t="s">
        <v>356</v>
      </c>
      <c r="B13" s="49" t="s">
        <v>365</v>
      </c>
      <c r="C13" s="216"/>
      <c r="D13" s="222"/>
      <c r="E13" s="222"/>
      <c r="F13" s="222" t="s">
        <v>371</v>
      </c>
      <c r="G13" s="222"/>
      <c r="H13" s="222"/>
      <c r="I13" s="774" t="s">
        <v>358</v>
      </c>
      <c r="J13" s="774"/>
      <c r="K13" s="774"/>
      <c r="L13" s="775"/>
    </row>
    <row r="14" spans="1:18" ht="33.75" customHeight="1" x14ac:dyDescent="0.25">
      <c r="A14" s="64">
        <v>2</v>
      </c>
      <c r="B14" s="741" t="s">
        <v>277</v>
      </c>
      <c r="C14" s="721"/>
      <c r="D14" s="742">
        <f>D16+D17+D18+F19</f>
        <v>77017.241279999987</v>
      </c>
      <c r="E14" s="742"/>
      <c r="F14" s="742"/>
      <c r="G14" s="742"/>
      <c r="H14" s="742"/>
      <c r="I14" s="742">
        <f>I16+I17+I18+I19+I20+I21+I22+I23</f>
        <v>27809.036593281326</v>
      </c>
      <c r="J14" s="742"/>
      <c r="K14" s="742"/>
      <c r="L14" s="743"/>
      <c r="M14" s="49" t="s">
        <v>343</v>
      </c>
    </row>
    <row r="15" spans="1:18" x14ac:dyDescent="0.25">
      <c r="A15" s="65"/>
      <c r="B15" s="735" t="s">
        <v>106</v>
      </c>
      <c r="C15" s="735"/>
      <c r="D15" s="219"/>
      <c r="E15" s="736"/>
      <c r="F15" s="736"/>
      <c r="G15" s="736"/>
      <c r="H15" s="736"/>
      <c r="I15" s="736"/>
      <c r="J15" s="68"/>
      <c r="K15" s="68"/>
      <c r="L15" s="69"/>
      <c r="M15" s="49" t="s">
        <v>344</v>
      </c>
      <c r="R15" s="49" t="s">
        <v>348</v>
      </c>
    </row>
    <row r="16" spans="1:18" x14ac:dyDescent="0.25">
      <c r="A16" s="65"/>
      <c r="B16" s="735" t="s">
        <v>107</v>
      </c>
      <c r="C16" s="735"/>
      <c r="D16" s="736">
        <f>C36</f>
        <v>45918.659609999995</v>
      </c>
      <c r="E16" s="736"/>
      <c r="F16" s="736"/>
      <c r="G16" s="736"/>
      <c r="H16" s="736"/>
      <c r="I16" s="736">
        <f>H36</f>
        <v>14270.409502416855</v>
      </c>
      <c r="J16" s="736"/>
      <c r="K16" s="736"/>
      <c r="L16" s="773"/>
      <c r="M16" s="49" t="s">
        <v>345</v>
      </c>
    </row>
    <row r="17" spans="1:18" x14ac:dyDescent="0.25">
      <c r="A17" s="65"/>
      <c r="B17" s="735" t="s">
        <v>108</v>
      </c>
      <c r="C17" s="735"/>
      <c r="D17" s="736">
        <f>D36</f>
        <v>22707.99394</v>
      </c>
      <c r="E17" s="736"/>
      <c r="F17" s="736"/>
      <c r="G17" s="736"/>
      <c r="H17" s="736"/>
      <c r="I17" s="736">
        <f>I36</f>
        <v>4055.9757320664494</v>
      </c>
      <c r="J17" s="736"/>
      <c r="K17" s="736"/>
      <c r="L17" s="773"/>
      <c r="M17" s="49" t="s">
        <v>346</v>
      </c>
      <c r="R17" s="49" t="s">
        <v>347</v>
      </c>
    </row>
    <row r="18" spans="1:18" x14ac:dyDescent="0.25">
      <c r="A18" s="65"/>
      <c r="B18" s="735" t="s">
        <v>109</v>
      </c>
      <c r="C18" s="735"/>
      <c r="D18" s="736">
        <f>E36</f>
        <v>7184.2662</v>
      </c>
      <c r="E18" s="736"/>
      <c r="F18" s="736"/>
      <c r="G18" s="736"/>
      <c r="H18" s="736"/>
      <c r="I18" s="736">
        <f>J36</f>
        <v>7116.5190399406529</v>
      </c>
      <c r="J18" s="736"/>
      <c r="K18" s="736"/>
      <c r="L18" s="773"/>
    </row>
    <row r="19" spans="1:18" x14ac:dyDescent="0.25">
      <c r="A19" s="65"/>
      <c r="B19" s="221" t="s">
        <v>110</v>
      </c>
      <c r="C19" s="221"/>
      <c r="D19" s="736">
        <f>F36</f>
        <v>1206.3215299999999</v>
      </c>
      <c r="E19" s="736"/>
      <c r="F19" s="736">
        <f>F36</f>
        <v>1206.3215299999999</v>
      </c>
      <c r="G19" s="736"/>
      <c r="H19" s="736"/>
      <c r="I19" s="736">
        <f>K36</f>
        <v>647.96843653119436</v>
      </c>
      <c r="J19" s="736"/>
      <c r="K19" s="736"/>
      <c r="L19" s="773"/>
    </row>
    <row r="20" spans="1:18" x14ac:dyDescent="0.25">
      <c r="A20" s="65"/>
      <c r="B20" s="221" t="s">
        <v>85</v>
      </c>
      <c r="C20" s="221"/>
      <c r="D20" s="219"/>
      <c r="E20" s="219"/>
      <c r="F20" s="219"/>
      <c r="G20" s="219"/>
      <c r="H20" s="219"/>
      <c r="I20" s="736">
        <f>(I16+I17)*0.015</f>
        <v>274.89577851724954</v>
      </c>
      <c r="J20" s="736"/>
      <c r="K20" s="736"/>
      <c r="L20" s="773"/>
    </row>
    <row r="21" spans="1:18" x14ac:dyDescent="0.25">
      <c r="A21" s="65"/>
      <c r="B21" s="221" t="s">
        <v>39</v>
      </c>
      <c r="C21" s="221"/>
      <c r="D21" s="219"/>
      <c r="E21" s="219"/>
      <c r="F21" s="219"/>
      <c r="G21" s="219"/>
      <c r="H21" s="219"/>
      <c r="I21" s="736">
        <f>(I16+I17)*0.029</f>
        <v>531.46517180001581</v>
      </c>
      <c r="J21" s="736"/>
      <c r="K21" s="736"/>
      <c r="L21" s="773"/>
    </row>
    <row r="22" spans="1:18" x14ac:dyDescent="0.25">
      <c r="A22" s="65"/>
      <c r="B22" s="221" t="s">
        <v>40</v>
      </c>
      <c r="C22" s="221"/>
      <c r="D22" s="219"/>
      <c r="E22" s="219"/>
      <c r="F22" s="219"/>
      <c r="G22" s="219"/>
      <c r="H22" s="219"/>
      <c r="I22" s="736">
        <f>(I16+I17)*0.02</f>
        <v>366.52770468966605</v>
      </c>
      <c r="J22" s="736"/>
      <c r="K22" s="736"/>
      <c r="L22" s="773"/>
    </row>
    <row r="23" spans="1:18" s="586" customFormat="1" x14ac:dyDescent="0.25">
      <c r="A23" s="584"/>
      <c r="B23" s="571" t="s">
        <v>733</v>
      </c>
      <c r="C23" s="585"/>
      <c r="D23" s="568"/>
      <c r="E23" s="568"/>
      <c r="F23" s="568"/>
      <c r="G23" s="568"/>
      <c r="H23" s="568"/>
      <c r="I23" s="852">
        <f>(I16+I19+I20+I21+I22+I17+I18)*0.02</f>
        <v>545.27522731924171</v>
      </c>
      <c r="J23" s="852"/>
      <c r="K23" s="852"/>
      <c r="L23" s="853"/>
      <c r="M23" s="586">
        <f>[16]МГЭ!$I$9</f>
        <v>1.0085</v>
      </c>
    </row>
    <row r="24" spans="1:18" s="103" customFormat="1" x14ac:dyDescent="0.25">
      <c r="A24" s="107"/>
      <c r="B24" s="103" t="s">
        <v>331</v>
      </c>
      <c r="C24" s="106"/>
      <c r="D24" s="105"/>
      <c r="E24" s="105"/>
      <c r="F24" s="105"/>
      <c r="G24" s="105"/>
      <c r="H24" s="105"/>
      <c r="I24" s="105"/>
      <c r="J24" s="247">
        <f>I14*M23</f>
        <v>28045.413404324216</v>
      </c>
      <c r="K24" s="247"/>
      <c r="L24" s="104"/>
    </row>
    <row r="25" spans="1:18" x14ac:dyDescent="0.25">
      <c r="A25" s="65"/>
      <c r="B25" s="208"/>
      <c r="C25" s="208"/>
      <c r="D25" s="208"/>
      <c r="E25" s="208"/>
      <c r="F25" s="208"/>
      <c r="G25" s="208"/>
      <c r="H25" s="208"/>
      <c r="I25" s="101"/>
      <c r="J25" s="101"/>
      <c r="K25" s="101"/>
      <c r="L25" s="102"/>
    </row>
    <row r="26" spans="1:18" x14ac:dyDescent="0.25">
      <c r="A26" s="720" t="s">
        <v>268</v>
      </c>
      <c r="B26" s="721"/>
      <c r="C26" s="721"/>
      <c r="D26" s="721"/>
      <c r="E26" s="721"/>
      <c r="F26" s="721"/>
      <c r="G26" s="721"/>
      <c r="H26" s="721"/>
      <c r="I26" s="721"/>
      <c r="J26" s="721"/>
      <c r="K26" s="721"/>
      <c r="L26" s="722"/>
    </row>
    <row r="27" spans="1:18" ht="13.5" customHeight="1" x14ac:dyDescent="0.25">
      <c r="A27" s="723" t="s">
        <v>112</v>
      </c>
      <c r="B27" s="726" t="s">
        <v>113</v>
      </c>
      <c r="C27" s="729" t="s">
        <v>99</v>
      </c>
      <c r="D27" s="730"/>
      <c r="E27" s="730"/>
      <c r="F27" s="730"/>
      <c r="G27" s="731"/>
      <c r="H27" s="729" t="s">
        <v>100</v>
      </c>
      <c r="I27" s="730"/>
      <c r="J27" s="730"/>
      <c r="K27" s="730"/>
      <c r="L27" s="731"/>
    </row>
    <row r="28" spans="1:18" x14ac:dyDescent="0.25">
      <c r="A28" s="724"/>
      <c r="B28" s="727"/>
      <c r="C28" s="732" t="s">
        <v>373</v>
      </c>
      <c r="D28" s="733"/>
      <c r="E28" s="733"/>
      <c r="F28" s="733"/>
      <c r="G28" s="734"/>
      <c r="H28" s="732" t="s">
        <v>349</v>
      </c>
      <c r="I28" s="733"/>
      <c r="J28" s="733"/>
      <c r="K28" s="733"/>
      <c r="L28" s="734"/>
    </row>
    <row r="29" spans="1:18" x14ac:dyDescent="0.25">
      <c r="A29" s="725"/>
      <c r="B29" s="728"/>
      <c r="C29" s="72" t="s">
        <v>114</v>
      </c>
      <c r="D29" s="217" t="s">
        <v>115</v>
      </c>
      <c r="E29" s="217" t="s">
        <v>116</v>
      </c>
      <c r="F29" s="217" t="s">
        <v>13</v>
      </c>
      <c r="G29" s="218" t="s">
        <v>117</v>
      </c>
      <c r="H29" s="72" t="s">
        <v>114</v>
      </c>
      <c r="I29" s="217" t="s">
        <v>115</v>
      </c>
      <c r="J29" s="217" t="s">
        <v>116</v>
      </c>
      <c r="K29" s="217" t="s">
        <v>13</v>
      </c>
      <c r="L29" s="218" t="s">
        <v>117</v>
      </c>
    </row>
    <row r="30" spans="1:18" x14ac:dyDescent="0.25">
      <c r="A30" s="75" t="s">
        <v>118</v>
      </c>
      <c r="B30" s="76">
        <v>2</v>
      </c>
      <c r="C30" s="77">
        <v>3</v>
      </c>
      <c r="D30" s="78">
        <v>4</v>
      </c>
      <c r="E30" s="78">
        <v>5</v>
      </c>
      <c r="F30" s="78">
        <v>6</v>
      </c>
      <c r="G30" s="76">
        <v>7</v>
      </c>
      <c r="H30" s="77">
        <v>8</v>
      </c>
      <c r="I30" s="78">
        <v>9</v>
      </c>
      <c r="J30" s="78">
        <v>10</v>
      </c>
      <c r="K30" s="78">
        <v>11</v>
      </c>
      <c r="L30" s="76">
        <v>12</v>
      </c>
    </row>
    <row r="31" spans="1:18" s="84" customFormat="1" ht="31.5" x14ac:dyDescent="0.25">
      <c r="A31" s="79"/>
      <c r="B31" s="80" t="s">
        <v>351</v>
      </c>
      <c r="C31" s="81">
        <f>28244755/1000</f>
        <v>28244.755000000001</v>
      </c>
      <c r="D31" s="82">
        <v>0</v>
      </c>
      <c r="E31" s="82">
        <v>0</v>
      </c>
      <c r="F31" s="82">
        <v>0</v>
      </c>
      <c r="G31" s="189">
        <f>F31+E31+D31+C31</f>
        <v>28244.755000000001</v>
      </c>
      <c r="H31" s="81">
        <f>C31/1220*250</f>
        <v>5787.8596311475412</v>
      </c>
      <c r="I31" s="81">
        <f t="shared" ref="I31:K31" si="0">D31/145.6*63000</f>
        <v>0</v>
      </c>
      <c r="J31" s="81">
        <f t="shared" si="0"/>
        <v>0</v>
      </c>
      <c r="K31" s="81">
        <f t="shared" si="0"/>
        <v>0</v>
      </c>
      <c r="L31" s="189">
        <f>K31+J31+I31+H31</f>
        <v>5787.8596311475412</v>
      </c>
    </row>
    <row r="32" spans="1:18" s="84" customFormat="1" ht="31.5" x14ac:dyDescent="0.25">
      <c r="A32" s="79"/>
      <c r="B32" s="80" t="s">
        <v>352</v>
      </c>
      <c r="C32" s="81">
        <f>2304173.7/1000</f>
        <v>2304.1737000000003</v>
      </c>
      <c r="D32" s="82">
        <v>0</v>
      </c>
      <c r="E32" s="82">
        <v>0</v>
      </c>
      <c r="F32" s="82">
        <v>0</v>
      </c>
      <c r="G32" s="189">
        <f t="shared" ref="G32:G34" si="1">F32+E32+D32+C32</f>
        <v>2304.1737000000003</v>
      </c>
      <c r="H32" s="81">
        <f>C32/961*750</f>
        <v>1798.2625130072845</v>
      </c>
      <c r="I32" s="81">
        <f t="shared" ref="I32" si="2">D32/145.6*63000</f>
        <v>0</v>
      </c>
      <c r="J32" s="81">
        <f t="shared" ref="J32" si="3">E32/145.6*63000</f>
        <v>0</v>
      </c>
      <c r="K32" s="81">
        <f t="shared" ref="K32" si="4">F32/145.6*63000</f>
        <v>0</v>
      </c>
      <c r="L32" s="189">
        <f>K32+J32+I32+H32</f>
        <v>1798.2625130072845</v>
      </c>
    </row>
    <row r="33" spans="1:13" s="84" customFormat="1" ht="31.5" x14ac:dyDescent="0.25">
      <c r="A33" s="79"/>
      <c r="B33" s="80" t="s">
        <v>353</v>
      </c>
      <c r="C33" s="81">
        <f>1488639/1000</f>
        <v>1488.6389999999999</v>
      </c>
      <c r="D33" s="82">
        <v>0</v>
      </c>
      <c r="E33" s="82">
        <v>0</v>
      </c>
      <c r="F33" s="82">
        <f>344783.8/1000</f>
        <v>344.78379999999999</v>
      </c>
      <c r="G33" s="189">
        <f t="shared" si="1"/>
        <v>1833.4227999999998</v>
      </c>
      <c r="H33" s="81">
        <f>C33/147*200</f>
        <v>2025.3591836734693</v>
      </c>
      <c r="I33" s="81">
        <f t="shared" ref="I33" si="5">D33/145.6*63000</f>
        <v>0</v>
      </c>
      <c r="J33" s="81">
        <f t="shared" ref="J33" si="6">E33/145.6*63000</f>
        <v>0</v>
      </c>
      <c r="K33" s="81">
        <f>F33/147*200</f>
        <v>469.09360544217679</v>
      </c>
      <c r="L33" s="189">
        <f>K33+J33+I33+H33</f>
        <v>2494.4527891156458</v>
      </c>
    </row>
    <row r="34" spans="1:13" s="84" customFormat="1" ht="31.5" x14ac:dyDescent="0.25">
      <c r="A34" s="79"/>
      <c r="B34" s="80" t="s">
        <v>369</v>
      </c>
      <c r="C34" s="81">
        <f>3624771.61/1000</f>
        <v>3624.7716099999998</v>
      </c>
      <c r="D34" s="82">
        <f>2692476.24/1000</f>
        <v>2692.4762400000004</v>
      </c>
      <c r="E34" s="82">
        <f>6148081.08/1000</f>
        <v>6148.0810799999999</v>
      </c>
      <c r="F34" s="82">
        <f>124842.94/1000</f>
        <v>124.84294</v>
      </c>
      <c r="G34" s="189">
        <f t="shared" si="1"/>
        <v>12590.17187</v>
      </c>
      <c r="H34" s="81">
        <f>C34/1740*2000</f>
        <v>4166.404149425287</v>
      </c>
      <c r="I34" s="81">
        <f>D34/1740*2000</f>
        <v>3094.8002758620696</v>
      </c>
      <c r="J34" s="81">
        <f>E34/1740*2000</f>
        <v>7066.759862068966</v>
      </c>
      <c r="K34" s="81">
        <f>F34/1740*2000</f>
        <v>143.49763218390805</v>
      </c>
      <c r="L34" s="189">
        <f>K34+J34+I34+H34</f>
        <v>14471.46191954023</v>
      </c>
    </row>
    <row r="35" spans="1:13" s="84" customFormat="1" ht="47.25" x14ac:dyDescent="0.25">
      <c r="A35" s="85"/>
      <c r="B35" s="86" t="s">
        <v>350</v>
      </c>
      <c r="C35" s="87">
        <f>10256320.3/1000</f>
        <v>10256.320300000001</v>
      </c>
      <c r="D35" s="88">
        <f>20015517.7/1000</f>
        <v>20015.5177</v>
      </c>
      <c r="E35" s="88">
        <f>1036185.12/1000</f>
        <v>1036.1851200000001</v>
      </c>
      <c r="F35" s="88">
        <f>736694.79/1000</f>
        <v>736.69479000000001</v>
      </c>
      <c r="G35" s="244">
        <f t="shared" ref="G35" si="7">F35+E35+D35+C35</f>
        <v>32044.717909999999</v>
      </c>
      <c r="H35" s="81">
        <f>C35/5206*250</f>
        <v>492.52402516327322</v>
      </c>
      <c r="I35" s="81">
        <f>D35/5206*250</f>
        <v>961.17545620437966</v>
      </c>
      <c r="J35" s="81">
        <f>E35/5206*250</f>
        <v>49.759177871686525</v>
      </c>
      <c r="K35" s="81">
        <f>F35/5206*250</f>
        <v>35.377198905109495</v>
      </c>
      <c r="L35" s="244">
        <f t="shared" ref="L35" si="8">K35+J35+I35+H35</f>
        <v>1538.835858144449</v>
      </c>
    </row>
    <row r="36" spans="1:13" s="53" customFormat="1" ht="21.75" customHeight="1" x14ac:dyDescent="0.25">
      <c r="A36" s="90"/>
      <c r="B36" s="91" t="s">
        <v>122</v>
      </c>
      <c r="C36" s="92">
        <f>SUM(C31:C35)</f>
        <v>45918.659609999995</v>
      </c>
      <c r="D36" s="92">
        <f t="shared" ref="D36:L36" si="9">SUM(D31:D35)</f>
        <v>22707.99394</v>
      </c>
      <c r="E36" s="92">
        <f t="shared" si="9"/>
        <v>7184.2662</v>
      </c>
      <c r="F36" s="92">
        <f t="shared" si="9"/>
        <v>1206.3215299999999</v>
      </c>
      <c r="G36" s="92">
        <f t="shared" si="9"/>
        <v>77017.241280000002</v>
      </c>
      <c r="H36" s="92">
        <f t="shared" si="9"/>
        <v>14270.409502416855</v>
      </c>
      <c r="I36" s="92">
        <f t="shared" si="9"/>
        <v>4055.9757320664494</v>
      </c>
      <c r="J36" s="92">
        <f t="shared" si="9"/>
        <v>7116.5190399406529</v>
      </c>
      <c r="K36" s="92">
        <f t="shared" si="9"/>
        <v>647.96843653119436</v>
      </c>
      <c r="L36" s="92">
        <f t="shared" si="9"/>
        <v>26090.872710955151</v>
      </c>
      <c r="M36" s="245"/>
    </row>
    <row r="37" spans="1:13" s="53" customFormat="1" x14ac:dyDescent="0.25">
      <c r="A37" s="127"/>
      <c r="B37" s="128"/>
      <c r="C37" s="129"/>
      <c r="D37" s="130"/>
      <c r="E37" s="130"/>
      <c r="F37" s="130"/>
      <c r="G37" s="131"/>
      <c r="H37" s="129"/>
      <c r="I37" s="130"/>
      <c r="J37" s="130"/>
      <c r="K37" s="130"/>
      <c r="L37" s="246"/>
    </row>
    <row r="38" spans="1:13" x14ac:dyDescent="0.25">
      <c r="A38" s="95"/>
      <c r="B38" s="96"/>
      <c r="C38" s="97"/>
      <c r="D38" s="97"/>
      <c r="E38" s="97"/>
      <c r="F38" s="97"/>
      <c r="G38" s="97"/>
      <c r="H38" s="97"/>
      <c r="I38" s="97"/>
      <c r="J38" s="97"/>
      <c r="K38" s="97"/>
      <c r="L38" s="98"/>
    </row>
  </sheetData>
  <mergeCells count="44">
    <mergeCell ref="B15:C15"/>
    <mergeCell ref="E15:I15"/>
    <mergeCell ref="A1:L1"/>
    <mergeCell ref="A3:L3"/>
    <mergeCell ref="A4:L4"/>
    <mergeCell ref="B6:C7"/>
    <mergeCell ref="D6:H6"/>
    <mergeCell ref="I6:L6"/>
    <mergeCell ref="D7:H7"/>
    <mergeCell ref="I7:L7"/>
    <mergeCell ref="B5:L5"/>
    <mergeCell ref="B8:C8"/>
    <mergeCell ref="B9:C9"/>
    <mergeCell ref="D9:H9"/>
    <mergeCell ref="I9:L9"/>
    <mergeCell ref="B14:C14"/>
    <mergeCell ref="D14:H14"/>
    <mergeCell ref="I14:L14"/>
    <mergeCell ref="I10:L10"/>
    <mergeCell ref="I11:L11"/>
    <mergeCell ref="I12:L12"/>
    <mergeCell ref="I13:L13"/>
    <mergeCell ref="A27:A29"/>
    <mergeCell ref="B27:B29"/>
    <mergeCell ref="C27:G27"/>
    <mergeCell ref="H27:L27"/>
    <mergeCell ref="C28:G28"/>
    <mergeCell ref="H28:L28"/>
    <mergeCell ref="I23:L23"/>
    <mergeCell ref="A26:L26"/>
    <mergeCell ref="B18:C18"/>
    <mergeCell ref="D18:H18"/>
    <mergeCell ref="I18:L18"/>
    <mergeCell ref="D19:H19"/>
    <mergeCell ref="I19:L19"/>
    <mergeCell ref="I20:L20"/>
    <mergeCell ref="B16:C16"/>
    <mergeCell ref="D16:H16"/>
    <mergeCell ref="I16:L16"/>
    <mergeCell ref="I21:L21"/>
    <mergeCell ref="I22:L22"/>
    <mergeCell ref="B17:C17"/>
    <mergeCell ref="D17:H17"/>
    <mergeCell ref="I17:L17"/>
  </mergeCells>
  <pageMargins left="0.39370078740157483" right="0.39370078740157483" top="0.59055118110236227" bottom="0.39370078740157483" header="0" footer="0"/>
  <pageSetup paperSize="9" scale="62" fitToHeight="10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5" tint="0.39997558519241921"/>
  </sheetPr>
  <dimension ref="A1:L14"/>
  <sheetViews>
    <sheetView zoomScale="80" zoomScaleNormal="80" workbookViewId="0">
      <selection sqref="A1:G1"/>
    </sheetView>
  </sheetViews>
  <sheetFormatPr defaultColWidth="9.140625" defaultRowHeight="15" x14ac:dyDescent="0.25"/>
  <cols>
    <col min="1" max="1" width="9.140625" style="1"/>
    <col min="2" max="2" width="19.5703125" style="1" customWidth="1"/>
    <col min="3" max="3" width="56.5703125" style="1" customWidth="1"/>
    <col min="4" max="4" width="16" style="7" customWidth="1"/>
    <col min="5" max="5" width="14.5703125" style="7" customWidth="1"/>
    <col min="6" max="6" width="14.28515625" style="7" customWidth="1"/>
    <col min="7" max="7" width="11.7109375" style="7" customWidth="1"/>
    <col min="8" max="16384" width="9.140625" style="1"/>
  </cols>
  <sheetData>
    <row r="1" spans="1:12" s="52" customFormat="1" ht="89.25" customHeight="1" x14ac:dyDescent="0.25">
      <c r="A1" s="776"/>
      <c r="B1" s="776"/>
      <c r="C1" s="776"/>
      <c r="D1" s="776"/>
      <c r="E1" s="776"/>
      <c r="F1" s="776"/>
      <c r="G1" s="776"/>
      <c r="H1" s="537"/>
      <c r="I1" s="226"/>
      <c r="J1" s="226"/>
      <c r="K1" s="226"/>
      <c r="L1" s="226"/>
    </row>
    <row r="2" spans="1:12" s="49" customFormat="1" ht="15.75" x14ac:dyDescent="0.25">
      <c r="A2" s="50"/>
      <c r="B2" s="53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ht="15.75" x14ac:dyDescent="0.25">
      <c r="A3" s="746" t="s">
        <v>669</v>
      </c>
      <c r="B3" s="747"/>
      <c r="C3" s="747"/>
      <c r="D3" s="747"/>
      <c r="E3" s="747"/>
      <c r="F3" s="747"/>
      <c r="G3" s="747"/>
      <c r="H3" s="52"/>
      <c r="I3" s="227"/>
      <c r="J3" s="227"/>
      <c r="K3" s="227"/>
      <c r="L3" s="227"/>
    </row>
    <row r="5" spans="1:12" x14ac:dyDescent="0.25">
      <c r="A5" s="865" t="s">
        <v>670</v>
      </c>
      <c r="B5" s="865"/>
      <c r="C5" s="865"/>
      <c r="D5" s="865"/>
      <c r="E5" s="865"/>
      <c r="F5" s="865"/>
      <c r="G5" s="865"/>
    </row>
    <row r="7" spans="1:12" x14ac:dyDescent="0.25">
      <c r="C7" s="6" t="s">
        <v>782</v>
      </c>
    </row>
    <row r="9" spans="1:12" ht="37.5" customHeight="1" x14ac:dyDescent="0.25">
      <c r="A9" s="866" t="s">
        <v>734</v>
      </c>
      <c r="B9" s="866"/>
      <c r="C9" s="866"/>
      <c r="D9" s="866"/>
      <c r="E9" s="866"/>
      <c r="F9" s="866"/>
      <c r="G9" s="866"/>
    </row>
    <row r="11" spans="1:12" ht="30" x14ac:dyDescent="0.25">
      <c r="B11" s="1" t="s">
        <v>671</v>
      </c>
      <c r="C11" s="1" t="s">
        <v>672</v>
      </c>
      <c r="D11" s="7">
        <v>5872110</v>
      </c>
      <c r="E11" s="7" t="s">
        <v>673</v>
      </c>
    </row>
    <row r="12" spans="1:12" s="595" customFormat="1" x14ac:dyDescent="0.25">
      <c r="C12" s="595" t="s">
        <v>674</v>
      </c>
      <c r="D12" s="596">
        <f>[16]МГЭ!$I$12</f>
        <v>1.1344000000000001</v>
      </c>
      <c r="E12" s="597"/>
      <c r="F12" s="597"/>
      <c r="G12" s="596"/>
    </row>
    <row r="13" spans="1:12" x14ac:dyDescent="0.25">
      <c r="C13" s="1" t="s">
        <v>679</v>
      </c>
      <c r="D13" s="538">
        <f>ROUND(D11*D12,2)</f>
        <v>6661321.5800000001</v>
      </c>
    </row>
    <row r="14" spans="1:12" x14ac:dyDescent="0.25">
      <c r="C14" s="1" t="s">
        <v>680</v>
      </c>
      <c r="D14" s="7">
        <f>D13*2</f>
        <v>13322643.16</v>
      </c>
    </row>
  </sheetData>
  <mergeCells count="4">
    <mergeCell ref="A1:G1"/>
    <mergeCell ref="A3:G3"/>
    <mergeCell ref="A5:G5"/>
    <mergeCell ref="A9:G9"/>
  </mergeCells>
  <pageMargins left="0.7" right="0.7" top="0.75" bottom="0.75" header="0.3" footer="0.3"/>
  <pageSetup paperSize="9" orientation="portrait" horizontalDpi="4294967293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C4"/>
  <sheetViews>
    <sheetView workbookViewId="0">
      <selection activeCell="C3" sqref="C3"/>
    </sheetView>
  </sheetViews>
  <sheetFormatPr defaultRowHeight="15" x14ac:dyDescent="0.25"/>
  <cols>
    <col min="1" max="1" width="15.28515625" bestFit="1" customWidth="1"/>
  </cols>
  <sheetData>
    <row r="1" spans="1:3" x14ac:dyDescent="0.25">
      <c r="A1" t="s">
        <v>836</v>
      </c>
      <c r="C1" t="s">
        <v>835</v>
      </c>
    </row>
    <row r="2" spans="1:3" x14ac:dyDescent="0.25">
      <c r="C2" t="s">
        <v>834</v>
      </c>
    </row>
    <row r="3" spans="1:3" x14ac:dyDescent="0.25">
      <c r="A3">
        <v>266</v>
      </c>
      <c r="B3" t="s">
        <v>103</v>
      </c>
    </row>
    <row r="4" spans="1:3" x14ac:dyDescent="0.25">
      <c r="A4">
        <v>1</v>
      </c>
      <c r="B4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H20"/>
  <sheetViews>
    <sheetView view="pageBreakPreview" topLeftCell="A7" zoomScaleNormal="100" zoomScaleSheetLayoutView="100" workbookViewId="0">
      <selection activeCell="E8" sqref="E8"/>
    </sheetView>
  </sheetViews>
  <sheetFormatPr defaultRowHeight="15" x14ac:dyDescent="0.25"/>
  <cols>
    <col min="1" max="1" width="40.28515625" style="444" customWidth="1"/>
    <col min="2" max="2" width="19.5703125" style="444" customWidth="1"/>
    <col min="3" max="3" width="21.7109375" style="444" customWidth="1"/>
    <col min="4" max="4" width="14.7109375" style="444" customWidth="1"/>
    <col min="5" max="5" width="17.5703125" style="444" customWidth="1"/>
    <col min="6" max="6" width="14.5703125" style="444" customWidth="1"/>
    <col min="7" max="7" width="13.85546875" style="444" customWidth="1"/>
    <col min="8" max="8" width="16.42578125" style="444" customWidth="1"/>
    <col min="9" max="255" width="9.140625" style="444"/>
    <col min="256" max="256" width="33.140625" style="444" customWidth="1"/>
    <col min="257" max="257" width="16" style="444" customWidth="1"/>
    <col min="258" max="258" width="12.140625" style="444" customWidth="1"/>
    <col min="259" max="259" width="17.7109375" style="444" customWidth="1"/>
    <col min="260" max="260" width="9.140625" style="444"/>
    <col min="261" max="261" width="12.5703125" style="444" customWidth="1"/>
    <col min="262" max="262" width="13" style="444" customWidth="1"/>
    <col min="263" max="263" width="9.140625" style="444" customWidth="1"/>
    <col min="264" max="511" width="9.140625" style="444"/>
    <col min="512" max="512" width="33.140625" style="444" customWidth="1"/>
    <col min="513" max="513" width="16" style="444" customWidth="1"/>
    <col min="514" max="514" width="12.140625" style="444" customWidth="1"/>
    <col min="515" max="515" width="17.7109375" style="444" customWidth="1"/>
    <col min="516" max="516" width="9.140625" style="444"/>
    <col min="517" max="517" width="12.5703125" style="444" customWidth="1"/>
    <col min="518" max="518" width="13" style="444" customWidth="1"/>
    <col min="519" max="519" width="9.140625" style="444" customWidth="1"/>
    <col min="520" max="767" width="9.140625" style="444"/>
    <col min="768" max="768" width="33.140625" style="444" customWidth="1"/>
    <col min="769" max="769" width="16" style="444" customWidth="1"/>
    <col min="770" max="770" width="12.140625" style="444" customWidth="1"/>
    <col min="771" max="771" width="17.7109375" style="444" customWidth="1"/>
    <col min="772" max="772" width="9.140625" style="444"/>
    <col min="773" max="773" width="12.5703125" style="444" customWidth="1"/>
    <col min="774" max="774" width="13" style="444" customWidth="1"/>
    <col min="775" max="775" width="9.140625" style="444" customWidth="1"/>
    <col min="776" max="1023" width="9.140625" style="444"/>
    <col min="1024" max="1024" width="33.140625" style="444" customWidth="1"/>
    <col min="1025" max="1025" width="16" style="444" customWidth="1"/>
    <col min="1026" max="1026" width="12.140625" style="444" customWidth="1"/>
    <col min="1027" max="1027" width="17.7109375" style="444" customWidth="1"/>
    <col min="1028" max="1028" width="9.140625" style="444"/>
    <col min="1029" max="1029" width="12.5703125" style="444" customWidth="1"/>
    <col min="1030" max="1030" width="13" style="444" customWidth="1"/>
    <col min="1031" max="1031" width="9.140625" style="444" customWidth="1"/>
    <col min="1032" max="1279" width="9.140625" style="444"/>
    <col min="1280" max="1280" width="33.140625" style="444" customWidth="1"/>
    <col min="1281" max="1281" width="16" style="444" customWidth="1"/>
    <col min="1282" max="1282" width="12.140625" style="444" customWidth="1"/>
    <col min="1283" max="1283" width="17.7109375" style="444" customWidth="1"/>
    <col min="1284" max="1284" width="9.140625" style="444"/>
    <col min="1285" max="1285" width="12.5703125" style="444" customWidth="1"/>
    <col min="1286" max="1286" width="13" style="444" customWidth="1"/>
    <col min="1287" max="1287" width="9.140625" style="444" customWidth="1"/>
    <col min="1288" max="1535" width="9.140625" style="444"/>
    <col min="1536" max="1536" width="33.140625" style="444" customWidth="1"/>
    <col min="1537" max="1537" width="16" style="444" customWidth="1"/>
    <col min="1538" max="1538" width="12.140625" style="444" customWidth="1"/>
    <col min="1539" max="1539" width="17.7109375" style="444" customWidth="1"/>
    <col min="1540" max="1540" width="9.140625" style="444"/>
    <col min="1541" max="1541" width="12.5703125" style="444" customWidth="1"/>
    <col min="1542" max="1542" width="13" style="444" customWidth="1"/>
    <col min="1543" max="1543" width="9.140625" style="444" customWidth="1"/>
    <col min="1544" max="1791" width="9.140625" style="444"/>
    <col min="1792" max="1792" width="33.140625" style="444" customWidth="1"/>
    <col min="1793" max="1793" width="16" style="444" customWidth="1"/>
    <col min="1794" max="1794" width="12.140625" style="444" customWidth="1"/>
    <col min="1795" max="1795" width="17.7109375" style="444" customWidth="1"/>
    <col min="1796" max="1796" width="9.140625" style="444"/>
    <col min="1797" max="1797" width="12.5703125" style="444" customWidth="1"/>
    <col min="1798" max="1798" width="13" style="444" customWidth="1"/>
    <col min="1799" max="1799" width="9.140625" style="444" customWidth="1"/>
    <col min="1800" max="2047" width="9.140625" style="444"/>
    <col min="2048" max="2048" width="33.140625" style="444" customWidth="1"/>
    <col min="2049" max="2049" width="16" style="444" customWidth="1"/>
    <col min="2050" max="2050" width="12.140625" style="444" customWidth="1"/>
    <col min="2051" max="2051" width="17.7109375" style="444" customWidth="1"/>
    <col min="2052" max="2052" width="9.140625" style="444"/>
    <col min="2053" max="2053" width="12.5703125" style="444" customWidth="1"/>
    <col min="2054" max="2054" width="13" style="444" customWidth="1"/>
    <col min="2055" max="2055" width="9.140625" style="444" customWidth="1"/>
    <col min="2056" max="2303" width="9.140625" style="444"/>
    <col min="2304" max="2304" width="33.140625" style="444" customWidth="1"/>
    <col min="2305" max="2305" width="16" style="444" customWidth="1"/>
    <col min="2306" max="2306" width="12.140625" style="444" customWidth="1"/>
    <col min="2307" max="2307" width="17.7109375" style="444" customWidth="1"/>
    <col min="2308" max="2308" width="9.140625" style="444"/>
    <col min="2309" max="2309" width="12.5703125" style="444" customWidth="1"/>
    <col min="2310" max="2310" width="13" style="444" customWidth="1"/>
    <col min="2311" max="2311" width="9.140625" style="444" customWidth="1"/>
    <col min="2312" max="2559" width="9.140625" style="444"/>
    <col min="2560" max="2560" width="33.140625" style="444" customWidth="1"/>
    <col min="2561" max="2561" width="16" style="444" customWidth="1"/>
    <col min="2562" max="2562" width="12.140625" style="444" customWidth="1"/>
    <col min="2563" max="2563" width="17.7109375" style="444" customWidth="1"/>
    <col min="2564" max="2564" width="9.140625" style="444"/>
    <col min="2565" max="2565" width="12.5703125" style="444" customWidth="1"/>
    <col min="2566" max="2566" width="13" style="444" customWidth="1"/>
    <col min="2567" max="2567" width="9.140625" style="444" customWidth="1"/>
    <col min="2568" max="2815" width="9.140625" style="444"/>
    <col min="2816" max="2816" width="33.140625" style="444" customWidth="1"/>
    <col min="2817" max="2817" width="16" style="444" customWidth="1"/>
    <col min="2818" max="2818" width="12.140625" style="444" customWidth="1"/>
    <col min="2819" max="2819" width="17.7109375" style="444" customWidth="1"/>
    <col min="2820" max="2820" width="9.140625" style="444"/>
    <col min="2821" max="2821" width="12.5703125" style="444" customWidth="1"/>
    <col min="2822" max="2822" width="13" style="444" customWidth="1"/>
    <col min="2823" max="2823" width="9.140625" style="444" customWidth="1"/>
    <col min="2824" max="3071" width="9.140625" style="444"/>
    <col min="3072" max="3072" width="33.140625" style="444" customWidth="1"/>
    <col min="3073" max="3073" width="16" style="444" customWidth="1"/>
    <col min="3074" max="3074" width="12.140625" style="444" customWidth="1"/>
    <col min="3075" max="3075" width="17.7109375" style="444" customWidth="1"/>
    <col min="3076" max="3076" width="9.140625" style="444"/>
    <col min="3077" max="3077" width="12.5703125" style="444" customWidth="1"/>
    <col min="3078" max="3078" width="13" style="444" customWidth="1"/>
    <col min="3079" max="3079" width="9.140625" style="444" customWidth="1"/>
    <col min="3080" max="3327" width="9.140625" style="444"/>
    <col min="3328" max="3328" width="33.140625" style="444" customWidth="1"/>
    <col min="3329" max="3329" width="16" style="444" customWidth="1"/>
    <col min="3330" max="3330" width="12.140625" style="444" customWidth="1"/>
    <col min="3331" max="3331" width="17.7109375" style="444" customWidth="1"/>
    <col min="3332" max="3332" width="9.140625" style="444"/>
    <col min="3333" max="3333" width="12.5703125" style="444" customWidth="1"/>
    <col min="3334" max="3334" width="13" style="444" customWidth="1"/>
    <col min="3335" max="3335" width="9.140625" style="444" customWidth="1"/>
    <col min="3336" max="3583" width="9.140625" style="444"/>
    <col min="3584" max="3584" width="33.140625" style="444" customWidth="1"/>
    <col min="3585" max="3585" width="16" style="444" customWidth="1"/>
    <col min="3586" max="3586" width="12.140625" style="444" customWidth="1"/>
    <col min="3587" max="3587" width="17.7109375" style="444" customWidth="1"/>
    <col min="3588" max="3588" width="9.140625" style="444"/>
    <col min="3589" max="3589" width="12.5703125" style="444" customWidth="1"/>
    <col min="3590" max="3590" width="13" style="444" customWidth="1"/>
    <col min="3591" max="3591" width="9.140625" style="444" customWidth="1"/>
    <col min="3592" max="3839" width="9.140625" style="444"/>
    <col min="3840" max="3840" width="33.140625" style="444" customWidth="1"/>
    <col min="3841" max="3841" width="16" style="444" customWidth="1"/>
    <col min="3842" max="3842" width="12.140625" style="444" customWidth="1"/>
    <col min="3843" max="3843" width="17.7109375" style="444" customWidth="1"/>
    <col min="3844" max="3844" width="9.140625" style="444"/>
    <col min="3845" max="3845" width="12.5703125" style="444" customWidth="1"/>
    <col min="3846" max="3846" width="13" style="444" customWidth="1"/>
    <col min="3847" max="3847" width="9.140625" style="444" customWidth="1"/>
    <col min="3848" max="4095" width="9.140625" style="444"/>
    <col min="4096" max="4096" width="33.140625" style="444" customWidth="1"/>
    <col min="4097" max="4097" width="16" style="444" customWidth="1"/>
    <col min="4098" max="4098" width="12.140625" style="444" customWidth="1"/>
    <col min="4099" max="4099" width="17.7109375" style="444" customWidth="1"/>
    <col min="4100" max="4100" width="9.140625" style="444"/>
    <col min="4101" max="4101" width="12.5703125" style="444" customWidth="1"/>
    <col min="4102" max="4102" width="13" style="444" customWidth="1"/>
    <col min="4103" max="4103" width="9.140625" style="444" customWidth="1"/>
    <col min="4104" max="4351" width="9.140625" style="444"/>
    <col min="4352" max="4352" width="33.140625" style="444" customWidth="1"/>
    <col min="4353" max="4353" width="16" style="444" customWidth="1"/>
    <col min="4354" max="4354" width="12.140625" style="444" customWidth="1"/>
    <col min="4355" max="4355" width="17.7109375" style="444" customWidth="1"/>
    <col min="4356" max="4356" width="9.140625" style="444"/>
    <col min="4357" max="4357" width="12.5703125" style="444" customWidth="1"/>
    <col min="4358" max="4358" width="13" style="444" customWidth="1"/>
    <col min="4359" max="4359" width="9.140625" style="444" customWidth="1"/>
    <col min="4360" max="4607" width="9.140625" style="444"/>
    <col min="4608" max="4608" width="33.140625" style="444" customWidth="1"/>
    <col min="4609" max="4609" width="16" style="444" customWidth="1"/>
    <col min="4610" max="4610" width="12.140625" style="444" customWidth="1"/>
    <col min="4611" max="4611" width="17.7109375" style="444" customWidth="1"/>
    <col min="4612" max="4612" width="9.140625" style="444"/>
    <col min="4613" max="4613" width="12.5703125" style="444" customWidth="1"/>
    <col min="4614" max="4614" width="13" style="444" customWidth="1"/>
    <col min="4615" max="4615" width="9.140625" style="444" customWidth="1"/>
    <col min="4616" max="4863" width="9.140625" style="444"/>
    <col min="4864" max="4864" width="33.140625" style="444" customWidth="1"/>
    <col min="4865" max="4865" width="16" style="444" customWidth="1"/>
    <col min="4866" max="4866" width="12.140625" style="444" customWidth="1"/>
    <col min="4867" max="4867" width="17.7109375" style="444" customWidth="1"/>
    <col min="4868" max="4868" width="9.140625" style="444"/>
    <col min="4869" max="4869" width="12.5703125" style="444" customWidth="1"/>
    <col min="4870" max="4870" width="13" style="444" customWidth="1"/>
    <col min="4871" max="4871" width="9.140625" style="444" customWidth="1"/>
    <col min="4872" max="5119" width="9.140625" style="444"/>
    <col min="5120" max="5120" width="33.140625" style="444" customWidth="1"/>
    <col min="5121" max="5121" width="16" style="444" customWidth="1"/>
    <col min="5122" max="5122" width="12.140625" style="444" customWidth="1"/>
    <col min="5123" max="5123" width="17.7109375" style="444" customWidth="1"/>
    <col min="5124" max="5124" width="9.140625" style="444"/>
    <col min="5125" max="5125" width="12.5703125" style="444" customWidth="1"/>
    <col min="5126" max="5126" width="13" style="444" customWidth="1"/>
    <col min="5127" max="5127" width="9.140625" style="444" customWidth="1"/>
    <col min="5128" max="5375" width="9.140625" style="444"/>
    <col min="5376" max="5376" width="33.140625" style="444" customWidth="1"/>
    <col min="5377" max="5377" width="16" style="444" customWidth="1"/>
    <col min="5378" max="5378" width="12.140625" style="444" customWidth="1"/>
    <col min="5379" max="5379" width="17.7109375" style="444" customWidth="1"/>
    <col min="5380" max="5380" width="9.140625" style="444"/>
    <col min="5381" max="5381" width="12.5703125" style="444" customWidth="1"/>
    <col min="5382" max="5382" width="13" style="444" customWidth="1"/>
    <col min="5383" max="5383" width="9.140625" style="444" customWidth="1"/>
    <col min="5384" max="5631" width="9.140625" style="444"/>
    <col min="5632" max="5632" width="33.140625" style="444" customWidth="1"/>
    <col min="5633" max="5633" width="16" style="444" customWidth="1"/>
    <col min="5634" max="5634" width="12.140625" style="444" customWidth="1"/>
    <col min="5635" max="5635" width="17.7109375" style="444" customWidth="1"/>
    <col min="5636" max="5636" width="9.140625" style="444"/>
    <col min="5637" max="5637" width="12.5703125" style="444" customWidth="1"/>
    <col min="5638" max="5638" width="13" style="444" customWidth="1"/>
    <col min="5639" max="5639" width="9.140625" style="444" customWidth="1"/>
    <col min="5640" max="5887" width="9.140625" style="444"/>
    <col min="5888" max="5888" width="33.140625" style="444" customWidth="1"/>
    <col min="5889" max="5889" width="16" style="444" customWidth="1"/>
    <col min="5890" max="5890" width="12.140625" style="444" customWidth="1"/>
    <col min="5891" max="5891" width="17.7109375" style="444" customWidth="1"/>
    <col min="5892" max="5892" width="9.140625" style="444"/>
    <col min="5893" max="5893" width="12.5703125" style="444" customWidth="1"/>
    <col min="5894" max="5894" width="13" style="444" customWidth="1"/>
    <col min="5895" max="5895" width="9.140625" style="444" customWidth="1"/>
    <col min="5896" max="6143" width="9.140625" style="444"/>
    <col min="6144" max="6144" width="33.140625" style="444" customWidth="1"/>
    <col min="6145" max="6145" width="16" style="444" customWidth="1"/>
    <col min="6146" max="6146" width="12.140625" style="444" customWidth="1"/>
    <col min="6147" max="6147" width="17.7109375" style="444" customWidth="1"/>
    <col min="6148" max="6148" width="9.140625" style="444"/>
    <col min="6149" max="6149" width="12.5703125" style="444" customWidth="1"/>
    <col min="6150" max="6150" width="13" style="444" customWidth="1"/>
    <col min="6151" max="6151" width="9.140625" style="444" customWidth="1"/>
    <col min="6152" max="6399" width="9.140625" style="444"/>
    <col min="6400" max="6400" width="33.140625" style="444" customWidth="1"/>
    <col min="6401" max="6401" width="16" style="444" customWidth="1"/>
    <col min="6402" max="6402" width="12.140625" style="444" customWidth="1"/>
    <col min="6403" max="6403" width="17.7109375" style="444" customWidth="1"/>
    <col min="6404" max="6404" width="9.140625" style="444"/>
    <col min="6405" max="6405" width="12.5703125" style="444" customWidth="1"/>
    <col min="6406" max="6406" width="13" style="444" customWidth="1"/>
    <col min="6407" max="6407" width="9.140625" style="444" customWidth="1"/>
    <col min="6408" max="6655" width="9.140625" style="444"/>
    <col min="6656" max="6656" width="33.140625" style="444" customWidth="1"/>
    <col min="6657" max="6657" width="16" style="444" customWidth="1"/>
    <col min="6658" max="6658" width="12.140625" style="444" customWidth="1"/>
    <col min="6659" max="6659" width="17.7109375" style="444" customWidth="1"/>
    <col min="6660" max="6660" width="9.140625" style="444"/>
    <col min="6661" max="6661" width="12.5703125" style="444" customWidth="1"/>
    <col min="6662" max="6662" width="13" style="444" customWidth="1"/>
    <col min="6663" max="6663" width="9.140625" style="444" customWidth="1"/>
    <col min="6664" max="6911" width="9.140625" style="444"/>
    <col min="6912" max="6912" width="33.140625" style="444" customWidth="1"/>
    <col min="6913" max="6913" width="16" style="444" customWidth="1"/>
    <col min="6914" max="6914" width="12.140625" style="444" customWidth="1"/>
    <col min="6915" max="6915" width="17.7109375" style="444" customWidth="1"/>
    <col min="6916" max="6916" width="9.140625" style="444"/>
    <col min="6917" max="6917" width="12.5703125" style="444" customWidth="1"/>
    <col min="6918" max="6918" width="13" style="444" customWidth="1"/>
    <col min="6919" max="6919" width="9.140625" style="444" customWidth="1"/>
    <col min="6920" max="7167" width="9.140625" style="444"/>
    <col min="7168" max="7168" width="33.140625" style="444" customWidth="1"/>
    <col min="7169" max="7169" width="16" style="444" customWidth="1"/>
    <col min="7170" max="7170" width="12.140625" style="444" customWidth="1"/>
    <col min="7171" max="7171" width="17.7109375" style="444" customWidth="1"/>
    <col min="7172" max="7172" width="9.140625" style="444"/>
    <col min="7173" max="7173" width="12.5703125" style="444" customWidth="1"/>
    <col min="7174" max="7174" width="13" style="444" customWidth="1"/>
    <col min="7175" max="7175" width="9.140625" style="444" customWidth="1"/>
    <col min="7176" max="7423" width="9.140625" style="444"/>
    <col min="7424" max="7424" width="33.140625" style="444" customWidth="1"/>
    <col min="7425" max="7425" width="16" style="444" customWidth="1"/>
    <col min="7426" max="7426" width="12.140625" style="444" customWidth="1"/>
    <col min="7427" max="7427" width="17.7109375" style="444" customWidth="1"/>
    <col min="7428" max="7428" width="9.140625" style="444"/>
    <col min="7429" max="7429" width="12.5703125" style="444" customWidth="1"/>
    <col min="7430" max="7430" width="13" style="444" customWidth="1"/>
    <col min="7431" max="7431" width="9.140625" style="444" customWidth="1"/>
    <col min="7432" max="7679" width="9.140625" style="444"/>
    <col min="7680" max="7680" width="33.140625" style="444" customWidth="1"/>
    <col min="7681" max="7681" width="16" style="444" customWidth="1"/>
    <col min="7682" max="7682" width="12.140625" style="444" customWidth="1"/>
    <col min="7683" max="7683" width="17.7109375" style="444" customWidth="1"/>
    <col min="7684" max="7684" width="9.140625" style="444"/>
    <col min="7685" max="7685" width="12.5703125" style="444" customWidth="1"/>
    <col min="7686" max="7686" width="13" style="444" customWidth="1"/>
    <col min="7687" max="7687" width="9.140625" style="444" customWidth="1"/>
    <col min="7688" max="7935" width="9.140625" style="444"/>
    <col min="7936" max="7936" width="33.140625" style="444" customWidth="1"/>
    <col min="7937" max="7937" width="16" style="444" customWidth="1"/>
    <col min="7938" max="7938" width="12.140625" style="444" customWidth="1"/>
    <col min="7939" max="7939" width="17.7109375" style="444" customWidth="1"/>
    <col min="7940" max="7940" width="9.140625" style="444"/>
    <col min="7941" max="7941" width="12.5703125" style="444" customWidth="1"/>
    <col min="7942" max="7942" width="13" style="444" customWidth="1"/>
    <col min="7943" max="7943" width="9.140625" style="444" customWidth="1"/>
    <col min="7944" max="8191" width="9.140625" style="444"/>
    <col min="8192" max="8192" width="33.140625" style="444" customWidth="1"/>
    <col min="8193" max="8193" width="16" style="444" customWidth="1"/>
    <col min="8194" max="8194" width="12.140625" style="444" customWidth="1"/>
    <col min="8195" max="8195" width="17.7109375" style="444" customWidth="1"/>
    <col min="8196" max="8196" width="9.140625" style="444"/>
    <col min="8197" max="8197" width="12.5703125" style="444" customWidth="1"/>
    <col min="8198" max="8198" width="13" style="444" customWidth="1"/>
    <col min="8199" max="8199" width="9.140625" style="444" customWidth="1"/>
    <col min="8200" max="8447" width="9.140625" style="444"/>
    <col min="8448" max="8448" width="33.140625" style="444" customWidth="1"/>
    <col min="8449" max="8449" width="16" style="444" customWidth="1"/>
    <col min="8450" max="8450" width="12.140625" style="444" customWidth="1"/>
    <col min="8451" max="8451" width="17.7109375" style="444" customWidth="1"/>
    <col min="8452" max="8452" width="9.140625" style="444"/>
    <col min="8453" max="8453" width="12.5703125" style="444" customWidth="1"/>
    <col min="8454" max="8454" width="13" style="444" customWidth="1"/>
    <col min="8455" max="8455" width="9.140625" style="444" customWidth="1"/>
    <col min="8456" max="8703" width="9.140625" style="444"/>
    <col min="8704" max="8704" width="33.140625" style="444" customWidth="1"/>
    <col min="8705" max="8705" width="16" style="444" customWidth="1"/>
    <col min="8706" max="8706" width="12.140625" style="444" customWidth="1"/>
    <col min="8707" max="8707" width="17.7109375" style="444" customWidth="1"/>
    <col min="8708" max="8708" width="9.140625" style="444"/>
    <col min="8709" max="8709" width="12.5703125" style="444" customWidth="1"/>
    <col min="8710" max="8710" width="13" style="444" customWidth="1"/>
    <col min="8711" max="8711" width="9.140625" style="444" customWidth="1"/>
    <col min="8712" max="8959" width="9.140625" style="444"/>
    <col min="8960" max="8960" width="33.140625" style="444" customWidth="1"/>
    <col min="8961" max="8961" width="16" style="444" customWidth="1"/>
    <col min="8962" max="8962" width="12.140625" style="444" customWidth="1"/>
    <col min="8963" max="8963" width="17.7109375" style="444" customWidth="1"/>
    <col min="8964" max="8964" width="9.140625" style="444"/>
    <col min="8965" max="8965" width="12.5703125" style="444" customWidth="1"/>
    <col min="8966" max="8966" width="13" style="444" customWidth="1"/>
    <col min="8967" max="8967" width="9.140625" style="444" customWidth="1"/>
    <col min="8968" max="9215" width="9.140625" style="444"/>
    <col min="9216" max="9216" width="33.140625" style="444" customWidth="1"/>
    <col min="9217" max="9217" width="16" style="444" customWidth="1"/>
    <col min="9218" max="9218" width="12.140625" style="444" customWidth="1"/>
    <col min="9219" max="9219" width="17.7109375" style="444" customWidth="1"/>
    <col min="9220" max="9220" width="9.140625" style="444"/>
    <col min="9221" max="9221" width="12.5703125" style="444" customWidth="1"/>
    <col min="9222" max="9222" width="13" style="444" customWidth="1"/>
    <col min="9223" max="9223" width="9.140625" style="444" customWidth="1"/>
    <col min="9224" max="9471" width="9.140625" style="444"/>
    <col min="9472" max="9472" width="33.140625" style="444" customWidth="1"/>
    <col min="9473" max="9473" width="16" style="444" customWidth="1"/>
    <col min="9474" max="9474" width="12.140625" style="444" customWidth="1"/>
    <col min="9475" max="9475" width="17.7109375" style="444" customWidth="1"/>
    <col min="9476" max="9476" width="9.140625" style="444"/>
    <col min="9477" max="9477" width="12.5703125" style="444" customWidth="1"/>
    <col min="9478" max="9478" width="13" style="444" customWidth="1"/>
    <col min="9479" max="9479" width="9.140625" style="444" customWidth="1"/>
    <col min="9480" max="9727" width="9.140625" style="444"/>
    <col min="9728" max="9728" width="33.140625" style="444" customWidth="1"/>
    <col min="9729" max="9729" width="16" style="444" customWidth="1"/>
    <col min="9730" max="9730" width="12.140625" style="444" customWidth="1"/>
    <col min="9731" max="9731" width="17.7109375" style="444" customWidth="1"/>
    <col min="9732" max="9732" width="9.140625" style="444"/>
    <col min="9733" max="9733" width="12.5703125" style="444" customWidth="1"/>
    <col min="9734" max="9734" width="13" style="444" customWidth="1"/>
    <col min="9735" max="9735" width="9.140625" style="444" customWidth="1"/>
    <col min="9736" max="9983" width="9.140625" style="444"/>
    <col min="9984" max="9984" width="33.140625" style="444" customWidth="1"/>
    <col min="9985" max="9985" width="16" style="444" customWidth="1"/>
    <col min="9986" max="9986" width="12.140625" style="444" customWidth="1"/>
    <col min="9987" max="9987" width="17.7109375" style="444" customWidth="1"/>
    <col min="9988" max="9988" width="9.140625" style="444"/>
    <col min="9989" max="9989" width="12.5703125" style="444" customWidth="1"/>
    <col min="9990" max="9990" width="13" style="444" customWidth="1"/>
    <col min="9991" max="9991" width="9.140625" style="444" customWidth="1"/>
    <col min="9992" max="10239" width="9.140625" style="444"/>
    <col min="10240" max="10240" width="33.140625" style="444" customWidth="1"/>
    <col min="10241" max="10241" width="16" style="444" customWidth="1"/>
    <col min="10242" max="10242" width="12.140625" style="444" customWidth="1"/>
    <col min="10243" max="10243" width="17.7109375" style="444" customWidth="1"/>
    <col min="10244" max="10244" width="9.140625" style="444"/>
    <col min="10245" max="10245" width="12.5703125" style="444" customWidth="1"/>
    <col min="10246" max="10246" width="13" style="444" customWidth="1"/>
    <col min="10247" max="10247" width="9.140625" style="444" customWidth="1"/>
    <col min="10248" max="10495" width="9.140625" style="444"/>
    <col min="10496" max="10496" width="33.140625" style="444" customWidth="1"/>
    <col min="10497" max="10497" width="16" style="444" customWidth="1"/>
    <col min="10498" max="10498" width="12.140625" style="444" customWidth="1"/>
    <col min="10499" max="10499" width="17.7109375" style="444" customWidth="1"/>
    <col min="10500" max="10500" width="9.140625" style="444"/>
    <col min="10501" max="10501" width="12.5703125" style="444" customWidth="1"/>
    <col min="10502" max="10502" width="13" style="444" customWidth="1"/>
    <col min="10503" max="10503" width="9.140625" style="444" customWidth="1"/>
    <col min="10504" max="10751" width="9.140625" style="444"/>
    <col min="10752" max="10752" width="33.140625" style="444" customWidth="1"/>
    <col min="10753" max="10753" width="16" style="444" customWidth="1"/>
    <col min="10754" max="10754" width="12.140625" style="444" customWidth="1"/>
    <col min="10755" max="10755" width="17.7109375" style="444" customWidth="1"/>
    <col min="10756" max="10756" width="9.140625" style="444"/>
    <col min="10757" max="10757" width="12.5703125" style="444" customWidth="1"/>
    <col min="10758" max="10758" width="13" style="444" customWidth="1"/>
    <col min="10759" max="10759" width="9.140625" style="444" customWidth="1"/>
    <col min="10760" max="11007" width="9.140625" style="444"/>
    <col min="11008" max="11008" width="33.140625" style="444" customWidth="1"/>
    <col min="11009" max="11009" width="16" style="444" customWidth="1"/>
    <col min="11010" max="11010" width="12.140625" style="444" customWidth="1"/>
    <col min="11011" max="11011" width="17.7109375" style="444" customWidth="1"/>
    <col min="11012" max="11012" width="9.140625" style="444"/>
    <col min="11013" max="11013" width="12.5703125" style="444" customWidth="1"/>
    <col min="11014" max="11014" width="13" style="444" customWidth="1"/>
    <col min="11015" max="11015" width="9.140625" style="444" customWidth="1"/>
    <col min="11016" max="11263" width="9.140625" style="444"/>
    <col min="11264" max="11264" width="33.140625" style="444" customWidth="1"/>
    <col min="11265" max="11265" width="16" style="444" customWidth="1"/>
    <col min="11266" max="11266" width="12.140625" style="444" customWidth="1"/>
    <col min="11267" max="11267" width="17.7109375" style="444" customWidth="1"/>
    <col min="11268" max="11268" width="9.140625" style="444"/>
    <col min="11269" max="11269" width="12.5703125" style="444" customWidth="1"/>
    <col min="11270" max="11270" width="13" style="444" customWidth="1"/>
    <col min="11271" max="11271" width="9.140625" style="444" customWidth="1"/>
    <col min="11272" max="11519" width="9.140625" style="444"/>
    <col min="11520" max="11520" width="33.140625" style="444" customWidth="1"/>
    <col min="11521" max="11521" width="16" style="444" customWidth="1"/>
    <col min="11522" max="11522" width="12.140625" style="444" customWidth="1"/>
    <col min="11523" max="11523" width="17.7109375" style="444" customWidth="1"/>
    <col min="11524" max="11524" width="9.140625" style="444"/>
    <col min="11525" max="11525" width="12.5703125" style="444" customWidth="1"/>
    <col min="11526" max="11526" width="13" style="444" customWidth="1"/>
    <col min="11527" max="11527" width="9.140625" style="444" customWidth="1"/>
    <col min="11528" max="11775" width="9.140625" style="444"/>
    <col min="11776" max="11776" width="33.140625" style="444" customWidth="1"/>
    <col min="11777" max="11777" width="16" style="444" customWidth="1"/>
    <col min="11778" max="11778" width="12.140625" style="444" customWidth="1"/>
    <col min="11779" max="11779" width="17.7109375" style="444" customWidth="1"/>
    <col min="11780" max="11780" width="9.140625" style="444"/>
    <col min="11781" max="11781" width="12.5703125" style="444" customWidth="1"/>
    <col min="11782" max="11782" width="13" style="444" customWidth="1"/>
    <col min="11783" max="11783" width="9.140625" style="444" customWidth="1"/>
    <col min="11784" max="12031" width="9.140625" style="444"/>
    <col min="12032" max="12032" width="33.140625" style="444" customWidth="1"/>
    <col min="12033" max="12033" width="16" style="444" customWidth="1"/>
    <col min="12034" max="12034" width="12.140625" style="444" customWidth="1"/>
    <col min="12035" max="12035" width="17.7109375" style="444" customWidth="1"/>
    <col min="12036" max="12036" width="9.140625" style="444"/>
    <col min="12037" max="12037" width="12.5703125" style="444" customWidth="1"/>
    <col min="12038" max="12038" width="13" style="444" customWidth="1"/>
    <col min="12039" max="12039" width="9.140625" style="444" customWidth="1"/>
    <col min="12040" max="12287" width="9.140625" style="444"/>
    <col min="12288" max="12288" width="33.140625" style="444" customWidth="1"/>
    <col min="12289" max="12289" width="16" style="444" customWidth="1"/>
    <col min="12290" max="12290" width="12.140625" style="444" customWidth="1"/>
    <col min="12291" max="12291" width="17.7109375" style="444" customWidth="1"/>
    <col min="12292" max="12292" width="9.140625" style="444"/>
    <col min="12293" max="12293" width="12.5703125" style="444" customWidth="1"/>
    <col min="12294" max="12294" width="13" style="444" customWidth="1"/>
    <col min="12295" max="12295" width="9.140625" style="444" customWidth="1"/>
    <col min="12296" max="12543" width="9.140625" style="444"/>
    <col min="12544" max="12544" width="33.140625" style="444" customWidth="1"/>
    <col min="12545" max="12545" width="16" style="444" customWidth="1"/>
    <col min="12546" max="12546" width="12.140625" style="444" customWidth="1"/>
    <col min="12547" max="12547" width="17.7109375" style="444" customWidth="1"/>
    <col min="12548" max="12548" width="9.140625" style="444"/>
    <col min="12549" max="12549" width="12.5703125" style="444" customWidth="1"/>
    <col min="12550" max="12550" width="13" style="444" customWidth="1"/>
    <col min="12551" max="12551" width="9.140625" style="444" customWidth="1"/>
    <col min="12552" max="12799" width="9.140625" style="444"/>
    <col min="12800" max="12800" width="33.140625" style="444" customWidth="1"/>
    <col min="12801" max="12801" width="16" style="444" customWidth="1"/>
    <col min="12802" max="12802" width="12.140625" style="444" customWidth="1"/>
    <col min="12803" max="12803" width="17.7109375" style="444" customWidth="1"/>
    <col min="12804" max="12804" width="9.140625" style="444"/>
    <col min="12805" max="12805" width="12.5703125" style="444" customWidth="1"/>
    <col min="12806" max="12806" width="13" style="444" customWidth="1"/>
    <col min="12807" max="12807" width="9.140625" style="444" customWidth="1"/>
    <col min="12808" max="13055" width="9.140625" style="444"/>
    <col min="13056" max="13056" width="33.140625" style="444" customWidth="1"/>
    <col min="13057" max="13057" width="16" style="444" customWidth="1"/>
    <col min="13058" max="13058" width="12.140625" style="444" customWidth="1"/>
    <col min="13059" max="13059" width="17.7109375" style="444" customWidth="1"/>
    <col min="13060" max="13060" width="9.140625" style="444"/>
    <col min="13061" max="13061" width="12.5703125" style="444" customWidth="1"/>
    <col min="13062" max="13062" width="13" style="444" customWidth="1"/>
    <col min="13063" max="13063" width="9.140625" style="444" customWidth="1"/>
    <col min="13064" max="13311" width="9.140625" style="444"/>
    <col min="13312" max="13312" width="33.140625" style="444" customWidth="1"/>
    <col min="13313" max="13313" width="16" style="444" customWidth="1"/>
    <col min="13314" max="13314" width="12.140625" style="444" customWidth="1"/>
    <col min="13315" max="13315" width="17.7109375" style="444" customWidth="1"/>
    <col min="13316" max="13316" width="9.140625" style="444"/>
    <col min="13317" max="13317" width="12.5703125" style="444" customWidth="1"/>
    <col min="13318" max="13318" width="13" style="444" customWidth="1"/>
    <col min="13319" max="13319" width="9.140625" style="444" customWidth="1"/>
    <col min="13320" max="13567" width="9.140625" style="444"/>
    <col min="13568" max="13568" width="33.140625" style="444" customWidth="1"/>
    <col min="13569" max="13569" width="16" style="444" customWidth="1"/>
    <col min="13570" max="13570" width="12.140625" style="444" customWidth="1"/>
    <col min="13571" max="13571" width="17.7109375" style="444" customWidth="1"/>
    <col min="13572" max="13572" width="9.140625" style="444"/>
    <col min="13573" max="13573" width="12.5703125" style="444" customWidth="1"/>
    <col min="13574" max="13574" width="13" style="444" customWidth="1"/>
    <col min="13575" max="13575" width="9.140625" style="444" customWidth="1"/>
    <col min="13576" max="13823" width="9.140625" style="444"/>
    <col min="13824" max="13824" width="33.140625" style="444" customWidth="1"/>
    <col min="13825" max="13825" width="16" style="444" customWidth="1"/>
    <col min="13826" max="13826" width="12.140625" style="444" customWidth="1"/>
    <col min="13827" max="13827" width="17.7109375" style="444" customWidth="1"/>
    <col min="13828" max="13828" width="9.140625" style="444"/>
    <col min="13829" max="13829" width="12.5703125" style="444" customWidth="1"/>
    <col min="13830" max="13830" width="13" style="444" customWidth="1"/>
    <col min="13831" max="13831" width="9.140625" style="444" customWidth="1"/>
    <col min="13832" max="14079" width="9.140625" style="444"/>
    <col min="14080" max="14080" width="33.140625" style="444" customWidth="1"/>
    <col min="14081" max="14081" width="16" style="444" customWidth="1"/>
    <col min="14082" max="14082" width="12.140625" style="444" customWidth="1"/>
    <col min="14083" max="14083" width="17.7109375" style="444" customWidth="1"/>
    <col min="14084" max="14084" width="9.140625" style="444"/>
    <col min="14085" max="14085" width="12.5703125" style="444" customWidth="1"/>
    <col min="14086" max="14086" width="13" style="444" customWidth="1"/>
    <col min="14087" max="14087" width="9.140625" style="444" customWidth="1"/>
    <col min="14088" max="14335" width="9.140625" style="444"/>
    <col min="14336" max="14336" width="33.140625" style="444" customWidth="1"/>
    <col min="14337" max="14337" width="16" style="444" customWidth="1"/>
    <col min="14338" max="14338" width="12.140625" style="444" customWidth="1"/>
    <col min="14339" max="14339" width="17.7109375" style="444" customWidth="1"/>
    <col min="14340" max="14340" width="9.140625" style="444"/>
    <col min="14341" max="14341" width="12.5703125" style="444" customWidth="1"/>
    <col min="14342" max="14342" width="13" style="444" customWidth="1"/>
    <col min="14343" max="14343" width="9.140625" style="444" customWidth="1"/>
    <col min="14344" max="14591" width="9.140625" style="444"/>
    <col min="14592" max="14592" width="33.140625" style="444" customWidth="1"/>
    <col min="14593" max="14593" width="16" style="444" customWidth="1"/>
    <col min="14594" max="14594" width="12.140625" style="444" customWidth="1"/>
    <col min="14595" max="14595" width="17.7109375" style="444" customWidth="1"/>
    <col min="14596" max="14596" width="9.140625" style="444"/>
    <col min="14597" max="14597" width="12.5703125" style="444" customWidth="1"/>
    <col min="14598" max="14598" width="13" style="444" customWidth="1"/>
    <col min="14599" max="14599" width="9.140625" style="444" customWidth="1"/>
    <col min="14600" max="14847" width="9.140625" style="444"/>
    <col min="14848" max="14848" width="33.140625" style="444" customWidth="1"/>
    <col min="14849" max="14849" width="16" style="444" customWidth="1"/>
    <col min="14850" max="14850" width="12.140625" style="444" customWidth="1"/>
    <col min="14851" max="14851" width="17.7109375" style="444" customWidth="1"/>
    <col min="14852" max="14852" width="9.140625" style="444"/>
    <col min="14853" max="14853" width="12.5703125" style="444" customWidth="1"/>
    <col min="14854" max="14854" width="13" style="444" customWidth="1"/>
    <col min="14855" max="14855" width="9.140625" style="444" customWidth="1"/>
    <col min="14856" max="15103" width="9.140625" style="444"/>
    <col min="15104" max="15104" width="33.140625" style="444" customWidth="1"/>
    <col min="15105" max="15105" width="16" style="444" customWidth="1"/>
    <col min="15106" max="15106" width="12.140625" style="444" customWidth="1"/>
    <col min="15107" max="15107" width="17.7109375" style="444" customWidth="1"/>
    <col min="15108" max="15108" width="9.140625" style="444"/>
    <col min="15109" max="15109" width="12.5703125" style="444" customWidth="1"/>
    <col min="15110" max="15110" width="13" style="444" customWidth="1"/>
    <col min="15111" max="15111" width="9.140625" style="444" customWidth="1"/>
    <col min="15112" max="15359" width="9.140625" style="444"/>
    <col min="15360" max="15360" width="33.140625" style="444" customWidth="1"/>
    <col min="15361" max="15361" width="16" style="444" customWidth="1"/>
    <col min="15362" max="15362" width="12.140625" style="444" customWidth="1"/>
    <col min="15363" max="15363" width="17.7109375" style="444" customWidth="1"/>
    <col min="15364" max="15364" width="9.140625" style="444"/>
    <col min="15365" max="15365" width="12.5703125" style="444" customWidth="1"/>
    <col min="15366" max="15366" width="13" style="444" customWidth="1"/>
    <col min="15367" max="15367" width="9.140625" style="444" customWidth="1"/>
    <col min="15368" max="15615" width="9.140625" style="444"/>
    <col min="15616" max="15616" width="33.140625" style="444" customWidth="1"/>
    <col min="15617" max="15617" width="16" style="444" customWidth="1"/>
    <col min="15618" max="15618" width="12.140625" style="444" customWidth="1"/>
    <col min="15619" max="15619" width="17.7109375" style="444" customWidth="1"/>
    <col min="15620" max="15620" width="9.140625" style="444"/>
    <col min="15621" max="15621" width="12.5703125" style="444" customWidth="1"/>
    <col min="15622" max="15622" width="13" style="444" customWidth="1"/>
    <col min="15623" max="15623" width="9.140625" style="444" customWidth="1"/>
    <col min="15624" max="15871" width="9.140625" style="444"/>
    <col min="15872" max="15872" width="33.140625" style="444" customWidth="1"/>
    <col min="15873" max="15873" width="16" style="444" customWidth="1"/>
    <col min="15874" max="15874" width="12.140625" style="444" customWidth="1"/>
    <col min="15875" max="15875" width="17.7109375" style="444" customWidth="1"/>
    <col min="15876" max="15876" width="9.140625" style="444"/>
    <col min="15877" max="15877" width="12.5703125" style="444" customWidth="1"/>
    <col min="15878" max="15878" width="13" style="444" customWidth="1"/>
    <col min="15879" max="15879" width="9.140625" style="444" customWidth="1"/>
    <col min="15880" max="16127" width="9.140625" style="444"/>
    <col min="16128" max="16128" width="33.140625" style="444" customWidth="1"/>
    <col min="16129" max="16129" width="16" style="444" customWidth="1"/>
    <col min="16130" max="16130" width="12.140625" style="444" customWidth="1"/>
    <col min="16131" max="16131" width="17.7109375" style="444" customWidth="1"/>
    <col min="16132" max="16132" width="9.140625" style="444"/>
    <col min="16133" max="16133" width="12.5703125" style="444" customWidth="1"/>
    <col min="16134" max="16134" width="13" style="444" customWidth="1"/>
    <col min="16135" max="16135" width="9.140625" style="444" customWidth="1"/>
    <col min="16136" max="16384" width="9.140625" style="444"/>
  </cols>
  <sheetData>
    <row r="1" spans="1:8" ht="49.5" customHeight="1" x14ac:dyDescent="0.25">
      <c r="A1" s="713" t="s">
        <v>634</v>
      </c>
      <c r="B1" s="713"/>
      <c r="C1" s="713"/>
      <c r="D1" s="713"/>
      <c r="E1" s="713"/>
    </row>
    <row r="2" spans="1:8" ht="15.75" x14ac:dyDescent="0.25">
      <c r="A2" s="714" t="s">
        <v>635</v>
      </c>
      <c r="B2" s="714"/>
      <c r="C2" s="715"/>
      <c r="D2" s="715"/>
      <c r="E2" s="715"/>
    </row>
    <row r="3" spans="1:8" ht="142.5" customHeight="1" x14ac:dyDescent="0.25">
      <c r="A3" s="716"/>
      <c r="B3" s="716"/>
      <c r="C3" s="716"/>
      <c r="D3" s="716"/>
      <c r="E3" s="716"/>
      <c r="F3" s="445"/>
      <c r="G3" s="445"/>
    </row>
    <row r="4" spans="1:8" ht="15.75" x14ac:dyDescent="0.25">
      <c r="A4" s="446" t="s">
        <v>636</v>
      </c>
      <c r="B4" s="446"/>
      <c r="C4" s="447"/>
      <c r="D4" s="447"/>
      <c r="E4" s="446"/>
      <c r="F4" s="445"/>
      <c r="G4" s="445"/>
    </row>
    <row r="5" spans="1:8" x14ac:dyDescent="0.25">
      <c r="A5" s="712" t="s">
        <v>637</v>
      </c>
      <c r="B5" s="712"/>
      <c r="C5" s="712"/>
      <c r="D5" s="712"/>
      <c r="E5" s="712"/>
    </row>
    <row r="6" spans="1:8" x14ac:dyDescent="0.25">
      <c r="A6" s="712" t="s">
        <v>774</v>
      </c>
      <c r="B6" s="712"/>
      <c r="C6" s="712"/>
      <c r="D6" s="712"/>
      <c r="E6" s="712"/>
    </row>
    <row r="7" spans="1:8" x14ac:dyDescent="0.25">
      <c r="A7" s="717"/>
      <c r="B7" s="717"/>
      <c r="C7" s="717"/>
      <c r="D7" s="717"/>
      <c r="E7" s="717"/>
    </row>
    <row r="8" spans="1:8" ht="99.6" customHeight="1" x14ac:dyDescent="0.25">
      <c r="A8" s="448" t="s">
        <v>638</v>
      </c>
      <c r="B8" s="448" t="s">
        <v>721</v>
      </c>
      <c r="C8" s="448" t="s">
        <v>639</v>
      </c>
      <c r="D8" s="448" t="s">
        <v>640</v>
      </c>
      <c r="E8" s="448" t="s">
        <v>641</v>
      </c>
    </row>
    <row r="9" spans="1:8" x14ac:dyDescent="0.25">
      <c r="A9" s="449">
        <v>1</v>
      </c>
      <c r="B9" s="449"/>
      <c r="C9" s="449">
        <v>2</v>
      </c>
      <c r="D9" s="449">
        <v>3</v>
      </c>
      <c r="E9" s="449">
        <v>4</v>
      </c>
    </row>
    <row r="10" spans="1:8" ht="24" customHeight="1" x14ac:dyDescent="0.25">
      <c r="A10" s="450" t="s">
        <v>642</v>
      </c>
      <c r="B10" s="569">
        <f>ROUND(43894.45/9644486.78,4)</f>
        <v>4.5999999999999999E-3</v>
      </c>
      <c r="C10" s="451" t="e">
        <f>ROUND('ПНЦ на УК'!D31*'расчет 1 эт ПИР'!B10,0)</f>
        <v>#REF!</v>
      </c>
      <c r="D10" s="452">
        <v>1</v>
      </c>
      <c r="E10" s="453" t="e">
        <f>ROUND(C10*D10,0)</f>
        <v>#REF!</v>
      </c>
    </row>
    <row r="11" spans="1:8" ht="34.5" customHeight="1" x14ac:dyDescent="0.25">
      <c r="A11" s="450" t="s">
        <v>643</v>
      </c>
      <c r="B11" s="569">
        <f>ROUND(442447.59/9644486.78,4)</f>
        <v>4.5900000000000003E-2</v>
      </c>
      <c r="C11" s="451" t="e">
        <f>ROUND(B11*'ПНЦ на УК'!D31,0)</f>
        <v>#REF!</v>
      </c>
      <c r="D11" s="452">
        <v>1.012</v>
      </c>
      <c r="E11" s="453" t="e">
        <f>ROUND(C11*D11,0)</f>
        <v>#REF!</v>
      </c>
      <c r="F11" s="454">
        <f>((4.378/4.273)-1)/2+1</f>
        <v>1.0122864498010766</v>
      </c>
      <c r="G11" s="455"/>
    </row>
    <row r="12" spans="1:8" ht="18.600000000000001" customHeight="1" x14ac:dyDescent="0.25">
      <c r="A12" s="456" t="s">
        <v>122</v>
      </c>
      <c r="B12" s="456"/>
      <c r="C12" s="457" t="e">
        <f>C11+C10</f>
        <v>#REF!</v>
      </c>
      <c r="D12" s="458"/>
      <c r="E12" s="458" t="e">
        <f>E11+E10</f>
        <v>#REF!</v>
      </c>
      <c r="F12" s="459" t="e">
        <f>E12+[14]расчет_эт.2!D12+[14]расчет_эт.3!D12</f>
        <v>#REF!</v>
      </c>
      <c r="G12" s="459" t="e">
        <f>F12*0.2</f>
        <v>#REF!</v>
      </c>
      <c r="H12" s="459" t="e">
        <f>F12+G12</f>
        <v>#REF!</v>
      </c>
    </row>
    <row r="13" spans="1:8" ht="18.600000000000001" customHeight="1" x14ac:dyDescent="0.25">
      <c r="A13" s="450" t="s">
        <v>46</v>
      </c>
      <c r="B13" s="450"/>
      <c r="C13" s="457" t="e">
        <f>C12*0.2</f>
        <v>#REF!</v>
      </c>
      <c r="D13" s="458"/>
      <c r="E13" s="458" t="e">
        <f>E12*0.2</f>
        <v>#REF!</v>
      </c>
      <c r="F13" s="460"/>
      <c r="G13" s="460"/>
    </row>
    <row r="14" spans="1:8" ht="24" customHeight="1" x14ac:dyDescent="0.25">
      <c r="A14" s="456" t="s">
        <v>644</v>
      </c>
      <c r="B14" s="456"/>
      <c r="C14" s="457" t="e">
        <f>C12+C13</f>
        <v>#REF!</v>
      </c>
      <c r="D14" s="458"/>
      <c r="E14" s="458" t="e">
        <f>SUM(E12:E13)</f>
        <v>#REF!</v>
      </c>
      <c r="F14" s="461" t="e">
        <f>E14+[14]расчет_эт.2!D14+[14]расчет_эт.3!D14</f>
        <v>#REF!</v>
      </c>
      <c r="G14" s="459"/>
    </row>
    <row r="15" spans="1:8" x14ac:dyDescent="0.25">
      <c r="A15" s="462"/>
      <c r="B15" s="462"/>
      <c r="C15" s="462"/>
      <c r="D15" s="462"/>
      <c r="E15" s="463"/>
      <c r="F15" s="459" t="e">
        <f>F14/1.2</f>
        <v>#REF!</v>
      </c>
    </row>
    <row r="16" spans="1:8" ht="15" customHeight="1" x14ac:dyDescent="0.25">
      <c r="A16" s="462" t="s">
        <v>720</v>
      </c>
      <c r="B16" s="462"/>
      <c r="C16" s="464"/>
      <c r="D16" s="462"/>
      <c r="E16" s="462"/>
      <c r="F16" s="459" t="e">
        <f>F15*0.2</f>
        <v>#REF!</v>
      </c>
    </row>
    <row r="17" spans="1:5" ht="28.5" customHeight="1" x14ac:dyDescent="0.25">
      <c r="A17" s="710" t="s">
        <v>645</v>
      </c>
      <c r="B17" s="710"/>
      <c r="C17" s="711"/>
      <c r="D17" s="711"/>
      <c r="E17" s="711"/>
    </row>
    <row r="18" spans="1:5" ht="15" customHeight="1" x14ac:dyDescent="0.25">
      <c r="A18" s="465" t="s">
        <v>646</v>
      </c>
      <c r="B18" s="465"/>
      <c r="C18" s="466"/>
      <c r="D18" s="467"/>
      <c r="E18" s="468"/>
    </row>
    <row r="19" spans="1:5" ht="49.5" customHeight="1" x14ac:dyDescent="0.25">
      <c r="A19" s="469" t="s">
        <v>817</v>
      </c>
      <c r="B19" s="469"/>
      <c r="C19" s="470"/>
      <c r="D19" s="469"/>
      <c r="E19" s="469"/>
    </row>
    <row r="20" spans="1:5" ht="15.75" x14ac:dyDescent="0.25">
      <c r="A20" s="471"/>
      <c r="B20" s="471"/>
      <c r="C20" s="447"/>
      <c r="D20" s="472"/>
      <c r="E20" s="471"/>
    </row>
  </sheetData>
  <mergeCells count="7">
    <mergeCell ref="A17:E17"/>
    <mergeCell ref="A6:E6"/>
    <mergeCell ref="A1:E1"/>
    <mergeCell ref="A2:E2"/>
    <mergeCell ref="A3:E3"/>
    <mergeCell ref="A5:E5"/>
    <mergeCell ref="A7:E7"/>
  </mergeCells>
  <pageMargins left="0.81" right="0.43" top="0.51" bottom="0.75" header="0.3" footer="0.3"/>
  <pageSetup paperSize="9" scale="56" fitToHeight="0" orientation="portrait" horizontalDpi="4294967295" verticalDpi="4294967295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1:G20"/>
  <sheetViews>
    <sheetView view="pageBreakPreview" topLeftCell="A4" zoomScaleNormal="100" zoomScaleSheetLayoutView="100" workbookViewId="0">
      <selection activeCell="D19" sqref="D19"/>
    </sheetView>
  </sheetViews>
  <sheetFormatPr defaultRowHeight="15" x14ac:dyDescent="0.25"/>
  <cols>
    <col min="1" max="1" width="40.28515625" style="444" customWidth="1"/>
    <col min="2" max="2" width="19.5703125" style="444" customWidth="1"/>
    <col min="3" max="3" width="21.7109375" style="444" customWidth="1"/>
    <col min="4" max="4" width="14.7109375" style="444" customWidth="1"/>
    <col min="5" max="5" width="17.5703125" style="444" customWidth="1"/>
    <col min="6" max="6" width="13" style="444" customWidth="1"/>
    <col min="7" max="7" width="9.140625" style="444" customWidth="1"/>
    <col min="8" max="255" width="9.140625" style="444"/>
    <col min="256" max="256" width="33.140625" style="444" customWidth="1"/>
    <col min="257" max="257" width="16" style="444" customWidth="1"/>
    <col min="258" max="258" width="12.140625" style="444" customWidth="1"/>
    <col min="259" max="259" width="17.7109375" style="444" customWidth="1"/>
    <col min="260" max="260" width="9.140625" style="444"/>
    <col min="261" max="261" width="12.5703125" style="444" customWidth="1"/>
    <col min="262" max="262" width="13" style="444" customWidth="1"/>
    <col min="263" max="263" width="9.140625" style="444" customWidth="1"/>
    <col min="264" max="511" width="9.140625" style="444"/>
    <col min="512" max="512" width="33.140625" style="444" customWidth="1"/>
    <col min="513" max="513" width="16" style="444" customWidth="1"/>
    <col min="514" max="514" width="12.140625" style="444" customWidth="1"/>
    <col min="515" max="515" width="17.7109375" style="444" customWidth="1"/>
    <col min="516" max="516" width="9.140625" style="444"/>
    <col min="517" max="517" width="12.5703125" style="444" customWidth="1"/>
    <col min="518" max="518" width="13" style="444" customWidth="1"/>
    <col min="519" max="519" width="9.140625" style="444" customWidth="1"/>
    <col min="520" max="767" width="9.140625" style="444"/>
    <col min="768" max="768" width="33.140625" style="444" customWidth="1"/>
    <col min="769" max="769" width="16" style="444" customWidth="1"/>
    <col min="770" max="770" width="12.140625" style="444" customWidth="1"/>
    <col min="771" max="771" width="17.7109375" style="444" customWidth="1"/>
    <col min="772" max="772" width="9.140625" style="444"/>
    <col min="773" max="773" width="12.5703125" style="444" customWidth="1"/>
    <col min="774" max="774" width="13" style="444" customWidth="1"/>
    <col min="775" max="775" width="9.140625" style="444" customWidth="1"/>
    <col min="776" max="1023" width="9.140625" style="444"/>
    <col min="1024" max="1024" width="33.140625" style="444" customWidth="1"/>
    <col min="1025" max="1025" width="16" style="444" customWidth="1"/>
    <col min="1026" max="1026" width="12.140625" style="444" customWidth="1"/>
    <col min="1027" max="1027" width="17.7109375" style="444" customWidth="1"/>
    <col min="1028" max="1028" width="9.140625" style="444"/>
    <col min="1029" max="1029" width="12.5703125" style="444" customWidth="1"/>
    <col min="1030" max="1030" width="13" style="444" customWidth="1"/>
    <col min="1031" max="1031" width="9.140625" style="444" customWidth="1"/>
    <col min="1032" max="1279" width="9.140625" style="444"/>
    <col min="1280" max="1280" width="33.140625" style="444" customWidth="1"/>
    <col min="1281" max="1281" width="16" style="444" customWidth="1"/>
    <col min="1282" max="1282" width="12.140625" style="444" customWidth="1"/>
    <col min="1283" max="1283" width="17.7109375" style="444" customWidth="1"/>
    <col min="1284" max="1284" width="9.140625" style="444"/>
    <col min="1285" max="1285" width="12.5703125" style="444" customWidth="1"/>
    <col min="1286" max="1286" width="13" style="444" customWidth="1"/>
    <col min="1287" max="1287" width="9.140625" style="444" customWidth="1"/>
    <col min="1288" max="1535" width="9.140625" style="444"/>
    <col min="1536" max="1536" width="33.140625" style="444" customWidth="1"/>
    <col min="1537" max="1537" width="16" style="444" customWidth="1"/>
    <col min="1538" max="1538" width="12.140625" style="444" customWidth="1"/>
    <col min="1539" max="1539" width="17.7109375" style="444" customWidth="1"/>
    <col min="1540" max="1540" width="9.140625" style="444"/>
    <col min="1541" max="1541" width="12.5703125" style="444" customWidth="1"/>
    <col min="1542" max="1542" width="13" style="444" customWidth="1"/>
    <col min="1543" max="1543" width="9.140625" style="444" customWidth="1"/>
    <col min="1544" max="1791" width="9.140625" style="444"/>
    <col min="1792" max="1792" width="33.140625" style="444" customWidth="1"/>
    <col min="1793" max="1793" width="16" style="444" customWidth="1"/>
    <col min="1794" max="1794" width="12.140625" style="444" customWidth="1"/>
    <col min="1795" max="1795" width="17.7109375" style="444" customWidth="1"/>
    <col min="1796" max="1796" width="9.140625" style="444"/>
    <col min="1797" max="1797" width="12.5703125" style="444" customWidth="1"/>
    <col min="1798" max="1798" width="13" style="444" customWidth="1"/>
    <col min="1799" max="1799" width="9.140625" style="444" customWidth="1"/>
    <col min="1800" max="2047" width="9.140625" style="444"/>
    <col min="2048" max="2048" width="33.140625" style="444" customWidth="1"/>
    <col min="2049" max="2049" width="16" style="444" customWidth="1"/>
    <col min="2050" max="2050" width="12.140625" style="444" customWidth="1"/>
    <col min="2051" max="2051" width="17.7109375" style="444" customWidth="1"/>
    <col min="2052" max="2052" width="9.140625" style="444"/>
    <col min="2053" max="2053" width="12.5703125" style="444" customWidth="1"/>
    <col min="2054" max="2054" width="13" style="444" customWidth="1"/>
    <col min="2055" max="2055" width="9.140625" style="444" customWidth="1"/>
    <col min="2056" max="2303" width="9.140625" style="444"/>
    <col min="2304" max="2304" width="33.140625" style="444" customWidth="1"/>
    <col min="2305" max="2305" width="16" style="444" customWidth="1"/>
    <col min="2306" max="2306" width="12.140625" style="444" customWidth="1"/>
    <col min="2307" max="2307" width="17.7109375" style="444" customWidth="1"/>
    <col min="2308" max="2308" width="9.140625" style="444"/>
    <col min="2309" max="2309" width="12.5703125" style="444" customWidth="1"/>
    <col min="2310" max="2310" width="13" style="444" customWidth="1"/>
    <col min="2311" max="2311" width="9.140625" style="444" customWidth="1"/>
    <col min="2312" max="2559" width="9.140625" style="444"/>
    <col min="2560" max="2560" width="33.140625" style="444" customWidth="1"/>
    <col min="2561" max="2561" width="16" style="444" customWidth="1"/>
    <col min="2562" max="2562" width="12.140625" style="444" customWidth="1"/>
    <col min="2563" max="2563" width="17.7109375" style="444" customWidth="1"/>
    <col min="2564" max="2564" width="9.140625" style="444"/>
    <col min="2565" max="2565" width="12.5703125" style="444" customWidth="1"/>
    <col min="2566" max="2566" width="13" style="444" customWidth="1"/>
    <col min="2567" max="2567" width="9.140625" style="444" customWidth="1"/>
    <col min="2568" max="2815" width="9.140625" style="444"/>
    <col min="2816" max="2816" width="33.140625" style="444" customWidth="1"/>
    <col min="2817" max="2817" width="16" style="444" customWidth="1"/>
    <col min="2818" max="2818" width="12.140625" style="444" customWidth="1"/>
    <col min="2819" max="2819" width="17.7109375" style="444" customWidth="1"/>
    <col min="2820" max="2820" width="9.140625" style="444"/>
    <col min="2821" max="2821" width="12.5703125" style="444" customWidth="1"/>
    <col min="2822" max="2822" width="13" style="444" customWidth="1"/>
    <col min="2823" max="2823" width="9.140625" style="444" customWidth="1"/>
    <col min="2824" max="3071" width="9.140625" style="444"/>
    <col min="3072" max="3072" width="33.140625" style="444" customWidth="1"/>
    <col min="3073" max="3073" width="16" style="444" customWidth="1"/>
    <col min="3074" max="3074" width="12.140625" style="444" customWidth="1"/>
    <col min="3075" max="3075" width="17.7109375" style="444" customWidth="1"/>
    <col min="3076" max="3076" width="9.140625" style="444"/>
    <col min="3077" max="3077" width="12.5703125" style="444" customWidth="1"/>
    <col min="3078" max="3078" width="13" style="444" customWidth="1"/>
    <col min="3079" max="3079" width="9.140625" style="444" customWidth="1"/>
    <col min="3080" max="3327" width="9.140625" style="444"/>
    <col min="3328" max="3328" width="33.140625" style="444" customWidth="1"/>
    <col min="3329" max="3329" width="16" style="444" customWidth="1"/>
    <col min="3330" max="3330" width="12.140625" style="444" customWidth="1"/>
    <col min="3331" max="3331" width="17.7109375" style="444" customWidth="1"/>
    <col min="3332" max="3332" width="9.140625" style="444"/>
    <col min="3333" max="3333" width="12.5703125" style="444" customWidth="1"/>
    <col min="3334" max="3334" width="13" style="444" customWidth="1"/>
    <col min="3335" max="3335" width="9.140625" style="444" customWidth="1"/>
    <col min="3336" max="3583" width="9.140625" style="444"/>
    <col min="3584" max="3584" width="33.140625" style="444" customWidth="1"/>
    <col min="3585" max="3585" width="16" style="444" customWidth="1"/>
    <col min="3586" max="3586" width="12.140625" style="444" customWidth="1"/>
    <col min="3587" max="3587" width="17.7109375" style="444" customWidth="1"/>
    <col min="3588" max="3588" width="9.140625" style="444"/>
    <col min="3589" max="3589" width="12.5703125" style="444" customWidth="1"/>
    <col min="3590" max="3590" width="13" style="444" customWidth="1"/>
    <col min="3591" max="3591" width="9.140625" style="444" customWidth="1"/>
    <col min="3592" max="3839" width="9.140625" style="444"/>
    <col min="3840" max="3840" width="33.140625" style="444" customWidth="1"/>
    <col min="3841" max="3841" width="16" style="444" customWidth="1"/>
    <col min="3842" max="3842" width="12.140625" style="444" customWidth="1"/>
    <col min="3843" max="3843" width="17.7109375" style="444" customWidth="1"/>
    <col min="3844" max="3844" width="9.140625" style="444"/>
    <col min="3845" max="3845" width="12.5703125" style="444" customWidth="1"/>
    <col min="3846" max="3846" width="13" style="444" customWidth="1"/>
    <col min="3847" max="3847" width="9.140625" style="444" customWidth="1"/>
    <col min="3848" max="4095" width="9.140625" style="444"/>
    <col min="4096" max="4096" width="33.140625" style="444" customWidth="1"/>
    <col min="4097" max="4097" width="16" style="444" customWidth="1"/>
    <col min="4098" max="4098" width="12.140625" style="444" customWidth="1"/>
    <col min="4099" max="4099" width="17.7109375" style="444" customWidth="1"/>
    <col min="4100" max="4100" width="9.140625" style="444"/>
    <col min="4101" max="4101" width="12.5703125" style="444" customWidth="1"/>
    <col min="4102" max="4102" width="13" style="444" customWidth="1"/>
    <col min="4103" max="4103" width="9.140625" style="444" customWidth="1"/>
    <col min="4104" max="4351" width="9.140625" style="444"/>
    <col min="4352" max="4352" width="33.140625" style="444" customWidth="1"/>
    <col min="4353" max="4353" width="16" style="444" customWidth="1"/>
    <col min="4354" max="4354" width="12.140625" style="444" customWidth="1"/>
    <col min="4355" max="4355" width="17.7109375" style="444" customWidth="1"/>
    <col min="4356" max="4356" width="9.140625" style="444"/>
    <col min="4357" max="4357" width="12.5703125" style="444" customWidth="1"/>
    <col min="4358" max="4358" width="13" style="444" customWidth="1"/>
    <col min="4359" max="4359" width="9.140625" style="444" customWidth="1"/>
    <col min="4360" max="4607" width="9.140625" style="444"/>
    <col min="4608" max="4608" width="33.140625" style="444" customWidth="1"/>
    <col min="4609" max="4609" width="16" style="444" customWidth="1"/>
    <col min="4610" max="4610" width="12.140625" style="444" customWidth="1"/>
    <col min="4611" max="4611" width="17.7109375" style="444" customWidth="1"/>
    <col min="4612" max="4612" width="9.140625" style="444"/>
    <col min="4613" max="4613" width="12.5703125" style="444" customWidth="1"/>
    <col min="4614" max="4614" width="13" style="444" customWidth="1"/>
    <col min="4615" max="4615" width="9.140625" style="444" customWidth="1"/>
    <col min="4616" max="4863" width="9.140625" style="444"/>
    <col min="4864" max="4864" width="33.140625" style="444" customWidth="1"/>
    <col min="4865" max="4865" width="16" style="444" customWidth="1"/>
    <col min="4866" max="4866" width="12.140625" style="444" customWidth="1"/>
    <col min="4867" max="4867" width="17.7109375" style="444" customWidth="1"/>
    <col min="4868" max="4868" width="9.140625" style="444"/>
    <col min="4869" max="4869" width="12.5703125" style="444" customWidth="1"/>
    <col min="4870" max="4870" width="13" style="444" customWidth="1"/>
    <col min="4871" max="4871" width="9.140625" style="444" customWidth="1"/>
    <col min="4872" max="5119" width="9.140625" style="444"/>
    <col min="5120" max="5120" width="33.140625" style="444" customWidth="1"/>
    <col min="5121" max="5121" width="16" style="444" customWidth="1"/>
    <col min="5122" max="5122" width="12.140625" style="444" customWidth="1"/>
    <col min="5123" max="5123" width="17.7109375" style="444" customWidth="1"/>
    <col min="5124" max="5124" width="9.140625" style="444"/>
    <col min="5125" max="5125" width="12.5703125" style="444" customWidth="1"/>
    <col min="5126" max="5126" width="13" style="444" customWidth="1"/>
    <col min="5127" max="5127" width="9.140625" style="444" customWidth="1"/>
    <col min="5128" max="5375" width="9.140625" style="444"/>
    <col min="5376" max="5376" width="33.140625" style="444" customWidth="1"/>
    <col min="5377" max="5377" width="16" style="444" customWidth="1"/>
    <col min="5378" max="5378" width="12.140625" style="444" customWidth="1"/>
    <col min="5379" max="5379" width="17.7109375" style="444" customWidth="1"/>
    <col min="5380" max="5380" width="9.140625" style="444"/>
    <col min="5381" max="5381" width="12.5703125" style="444" customWidth="1"/>
    <col min="5382" max="5382" width="13" style="444" customWidth="1"/>
    <col min="5383" max="5383" width="9.140625" style="444" customWidth="1"/>
    <col min="5384" max="5631" width="9.140625" style="444"/>
    <col min="5632" max="5632" width="33.140625" style="444" customWidth="1"/>
    <col min="5633" max="5633" width="16" style="444" customWidth="1"/>
    <col min="5634" max="5634" width="12.140625" style="444" customWidth="1"/>
    <col min="5635" max="5635" width="17.7109375" style="444" customWidth="1"/>
    <col min="5636" max="5636" width="9.140625" style="444"/>
    <col min="5637" max="5637" width="12.5703125" style="444" customWidth="1"/>
    <col min="5638" max="5638" width="13" style="444" customWidth="1"/>
    <col min="5639" max="5639" width="9.140625" style="444" customWidth="1"/>
    <col min="5640" max="5887" width="9.140625" style="444"/>
    <col min="5888" max="5888" width="33.140625" style="444" customWidth="1"/>
    <col min="5889" max="5889" width="16" style="444" customWidth="1"/>
    <col min="5890" max="5890" width="12.140625" style="444" customWidth="1"/>
    <col min="5891" max="5891" width="17.7109375" style="444" customWidth="1"/>
    <col min="5892" max="5892" width="9.140625" style="444"/>
    <col min="5893" max="5893" width="12.5703125" style="444" customWidth="1"/>
    <col min="5894" max="5894" width="13" style="444" customWidth="1"/>
    <col min="5895" max="5895" width="9.140625" style="444" customWidth="1"/>
    <col min="5896" max="6143" width="9.140625" style="444"/>
    <col min="6144" max="6144" width="33.140625" style="444" customWidth="1"/>
    <col min="6145" max="6145" width="16" style="444" customWidth="1"/>
    <col min="6146" max="6146" width="12.140625" style="444" customWidth="1"/>
    <col min="6147" max="6147" width="17.7109375" style="444" customWidth="1"/>
    <col min="6148" max="6148" width="9.140625" style="444"/>
    <col min="6149" max="6149" width="12.5703125" style="444" customWidth="1"/>
    <col min="6150" max="6150" width="13" style="444" customWidth="1"/>
    <col min="6151" max="6151" width="9.140625" style="444" customWidth="1"/>
    <col min="6152" max="6399" width="9.140625" style="444"/>
    <col min="6400" max="6400" width="33.140625" style="444" customWidth="1"/>
    <col min="6401" max="6401" width="16" style="444" customWidth="1"/>
    <col min="6402" max="6402" width="12.140625" style="444" customWidth="1"/>
    <col min="6403" max="6403" width="17.7109375" style="444" customWidth="1"/>
    <col min="6404" max="6404" width="9.140625" style="444"/>
    <col min="6405" max="6405" width="12.5703125" style="444" customWidth="1"/>
    <col min="6406" max="6406" width="13" style="444" customWidth="1"/>
    <col min="6407" max="6407" width="9.140625" style="444" customWidth="1"/>
    <col min="6408" max="6655" width="9.140625" style="444"/>
    <col min="6656" max="6656" width="33.140625" style="444" customWidth="1"/>
    <col min="6657" max="6657" width="16" style="444" customWidth="1"/>
    <col min="6658" max="6658" width="12.140625" style="444" customWidth="1"/>
    <col min="6659" max="6659" width="17.7109375" style="444" customWidth="1"/>
    <col min="6660" max="6660" width="9.140625" style="444"/>
    <col min="6661" max="6661" width="12.5703125" style="444" customWidth="1"/>
    <col min="6662" max="6662" width="13" style="444" customWidth="1"/>
    <col min="6663" max="6663" width="9.140625" style="444" customWidth="1"/>
    <col min="6664" max="6911" width="9.140625" style="444"/>
    <col min="6912" max="6912" width="33.140625" style="444" customWidth="1"/>
    <col min="6913" max="6913" width="16" style="444" customWidth="1"/>
    <col min="6914" max="6914" width="12.140625" style="444" customWidth="1"/>
    <col min="6915" max="6915" width="17.7109375" style="444" customWidth="1"/>
    <col min="6916" max="6916" width="9.140625" style="444"/>
    <col min="6917" max="6917" width="12.5703125" style="444" customWidth="1"/>
    <col min="6918" max="6918" width="13" style="444" customWidth="1"/>
    <col min="6919" max="6919" width="9.140625" style="444" customWidth="1"/>
    <col min="6920" max="7167" width="9.140625" style="444"/>
    <col min="7168" max="7168" width="33.140625" style="444" customWidth="1"/>
    <col min="7169" max="7169" width="16" style="444" customWidth="1"/>
    <col min="7170" max="7170" width="12.140625" style="444" customWidth="1"/>
    <col min="7171" max="7171" width="17.7109375" style="444" customWidth="1"/>
    <col min="7172" max="7172" width="9.140625" style="444"/>
    <col min="7173" max="7173" width="12.5703125" style="444" customWidth="1"/>
    <col min="7174" max="7174" width="13" style="444" customWidth="1"/>
    <col min="7175" max="7175" width="9.140625" style="444" customWidth="1"/>
    <col min="7176" max="7423" width="9.140625" style="444"/>
    <col min="7424" max="7424" width="33.140625" style="444" customWidth="1"/>
    <col min="7425" max="7425" width="16" style="444" customWidth="1"/>
    <col min="7426" max="7426" width="12.140625" style="444" customWidth="1"/>
    <col min="7427" max="7427" width="17.7109375" style="444" customWidth="1"/>
    <col min="7428" max="7428" width="9.140625" style="444"/>
    <col min="7429" max="7429" width="12.5703125" style="444" customWidth="1"/>
    <col min="7430" max="7430" width="13" style="444" customWidth="1"/>
    <col min="7431" max="7431" width="9.140625" style="444" customWidth="1"/>
    <col min="7432" max="7679" width="9.140625" style="444"/>
    <col min="7680" max="7680" width="33.140625" style="444" customWidth="1"/>
    <col min="7681" max="7681" width="16" style="444" customWidth="1"/>
    <col min="7682" max="7682" width="12.140625" style="444" customWidth="1"/>
    <col min="7683" max="7683" width="17.7109375" style="444" customWidth="1"/>
    <col min="7684" max="7684" width="9.140625" style="444"/>
    <col min="7685" max="7685" width="12.5703125" style="444" customWidth="1"/>
    <col min="7686" max="7686" width="13" style="444" customWidth="1"/>
    <col min="7687" max="7687" width="9.140625" style="444" customWidth="1"/>
    <col min="7688" max="7935" width="9.140625" style="444"/>
    <col min="7936" max="7936" width="33.140625" style="444" customWidth="1"/>
    <col min="7937" max="7937" width="16" style="444" customWidth="1"/>
    <col min="7938" max="7938" width="12.140625" style="444" customWidth="1"/>
    <col min="7939" max="7939" width="17.7109375" style="444" customWidth="1"/>
    <col min="7940" max="7940" width="9.140625" style="444"/>
    <col min="7941" max="7941" width="12.5703125" style="444" customWidth="1"/>
    <col min="7942" max="7942" width="13" style="444" customWidth="1"/>
    <col min="7943" max="7943" width="9.140625" style="444" customWidth="1"/>
    <col min="7944" max="8191" width="9.140625" style="444"/>
    <col min="8192" max="8192" width="33.140625" style="444" customWidth="1"/>
    <col min="8193" max="8193" width="16" style="444" customWidth="1"/>
    <col min="8194" max="8194" width="12.140625" style="444" customWidth="1"/>
    <col min="8195" max="8195" width="17.7109375" style="444" customWidth="1"/>
    <col min="8196" max="8196" width="9.140625" style="444"/>
    <col min="8197" max="8197" width="12.5703125" style="444" customWidth="1"/>
    <col min="8198" max="8198" width="13" style="444" customWidth="1"/>
    <col min="8199" max="8199" width="9.140625" style="444" customWidth="1"/>
    <col min="8200" max="8447" width="9.140625" style="444"/>
    <col min="8448" max="8448" width="33.140625" style="444" customWidth="1"/>
    <col min="8449" max="8449" width="16" style="444" customWidth="1"/>
    <col min="8450" max="8450" width="12.140625" style="444" customWidth="1"/>
    <col min="8451" max="8451" width="17.7109375" style="444" customWidth="1"/>
    <col min="8452" max="8452" width="9.140625" style="444"/>
    <col min="8453" max="8453" width="12.5703125" style="444" customWidth="1"/>
    <col min="8454" max="8454" width="13" style="444" customWidth="1"/>
    <col min="8455" max="8455" width="9.140625" style="444" customWidth="1"/>
    <col min="8456" max="8703" width="9.140625" style="444"/>
    <col min="8704" max="8704" width="33.140625" style="444" customWidth="1"/>
    <col min="8705" max="8705" width="16" style="444" customWidth="1"/>
    <col min="8706" max="8706" width="12.140625" style="444" customWidth="1"/>
    <col min="8707" max="8707" width="17.7109375" style="444" customWidth="1"/>
    <col min="8708" max="8708" width="9.140625" style="444"/>
    <col min="8709" max="8709" width="12.5703125" style="444" customWidth="1"/>
    <col min="8710" max="8710" width="13" style="444" customWidth="1"/>
    <col min="8711" max="8711" width="9.140625" style="444" customWidth="1"/>
    <col min="8712" max="8959" width="9.140625" style="444"/>
    <col min="8960" max="8960" width="33.140625" style="444" customWidth="1"/>
    <col min="8961" max="8961" width="16" style="444" customWidth="1"/>
    <col min="8962" max="8962" width="12.140625" style="444" customWidth="1"/>
    <col min="8963" max="8963" width="17.7109375" style="444" customWidth="1"/>
    <col min="8964" max="8964" width="9.140625" style="444"/>
    <col min="8965" max="8965" width="12.5703125" style="444" customWidth="1"/>
    <col min="8966" max="8966" width="13" style="444" customWidth="1"/>
    <col min="8967" max="8967" width="9.140625" style="444" customWidth="1"/>
    <col min="8968" max="9215" width="9.140625" style="444"/>
    <col min="9216" max="9216" width="33.140625" style="444" customWidth="1"/>
    <col min="9217" max="9217" width="16" style="444" customWidth="1"/>
    <col min="9218" max="9218" width="12.140625" style="444" customWidth="1"/>
    <col min="9219" max="9219" width="17.7109375" style="444" customWidth="1"/>
    <col min="9220" max="9220" width="9.140625" style="444"/>
    <col min="9221" max="9221" width="12.5703125" style="444" customWidth="1"/>
    <col min="9222" max="9222" width="13" style="444" customWidth="1"/>
    <col min="9223" max="9223" width="9.140625" style="444" customWidth="1"/>
    <col min="9224" max="9471" width="9.140625" style="444"/>
    <col min="9472" max="9472" width="33.140625" style="444" customWidth="1"/>
    <col min="9473" max="9473" width="16" style="444" customWidth="1"/>
    <col min="9474" max="9474" width="12.140625" style="444" customWidth="1"/>
    <col min="9475" max="9475" width="17.7109375" style="444" customWidth="1"/>
    <col min="9476" max="9476" width="9.140625" style="444"/>
    <col min="9477" max="9477" width="12.5703125" style="444" customWidth="1"/>
    <col min="9478" max="9478" width="13" style="444" customWidth="1"/>
    <col min="9479" max="9479" width="9.140625" style="444" customWidth="1"/>
    <col min="9480" max="9727" width="9.140625" style="444"/>
    <col min="9728" max="9728" width="33.140625" style="444" customWidth="1"/>
    <col min="9729" max="9729" width="16" style="444" customWidth="1"/>
    <col min="9730" max="9730" width="12.140625" style="444" customWidth="1"/>
    <col min="9731" max="9731" width="17.7109375" style="444" customWidth="1"/>
    <col min="9732" max="9732" width="9.140625" style="444"/>
    <col min="9733" max="9733" width="12.5703125" style="444" customWidth="1"/>
    <col min="9734" max="9734" width="13" style="444" customWidth="1"/>
    <col min="9735" max="9735" width="9.140625" style="444" customWidth="1"/>
    <col min="9736" max="9983" width="9.140625" style="444"/>
    <col min="9984" max="9984" width="33.140625" style="444" customWidth="1"/>
    <col min="9985" max="9985" width="16" style="444" customWidth="1"/>
    <col min="9986" max="9986" width="12.140625" style="444" customWidth="1"/>
    <col min="9987" max="9987" width="17.7109375" style="444" customWidth="1"/>
    <col min="9988" max="9988" width="9.140625" style="444"/>
    <col min="9989" max="9989" width="12.5703125" style="444" customWidth="1"/>
    <col min="9990" max="9990" width="13" style="444" customWidth="1"/>
    <col min="9991" max="9991" width="9.140625" style="444" customWidth="1"/>
    <col min="9992" max="10239" width="9.140625" style="444"/>
    <col min="10240" max="10240" width="33.140625" style="444" customWidth="1"/>
    <col min="10241" max="10241" width="16" style="444" customWidth="1"/>
    <col min="10242" max="10242" width="12.140625" style="444" customWidth="1"/>
    <col min="10243" max="10243" width="17.7109375" style="444" customWidth="1"/>
    <col min="10244" max="10244" width="9.140625" style="444"/>
    <col min="10245" max="10245" width="12.5703125" style="444" customWidth="1"/>
    <col min="10246" max="10246" width="13" style="444" customWidth="1"/>
    <col min="10247" max="10247" width="9.140625" style="444" customWidth="1"/>
    <col min="10248" max="10495" width="9.140625" style="444"/>
    <col min="10496" max="10496" width="33.140625" style="444" customWidth="1"/>
    <col min="10497" max="10497" width="16" style="444" customWidth="1"/>
    <col min="10498" max="10498" width="12.140625" style="444" customWidth="1"/>
    <col min="10499" max="10499" width="17.7109375" style="444" customWidth="1"/>
    <col min="10500" max="10500" width="9.140625" style="444"/>
    <col min="10501" max="10501" width="12.5703125" style="444" customWidth="1"/>
    <col min="10502" max="10502" width="13" style="444" customWidth="1"/>
    <col min="10503" max="10503" width="9.140625" style="444" customWidth="1"/>
    <col min="10504" max="10751" width="9.140625" style="444"/>
    <col min="10752" max="10752" width="33.140625" style="444" customWidth="1"/>
    <col min="10753" max="10753" width="16" style="444" customWidth="1"/>
    <col min="10754" max="10754" width="12.140625" style="444" customWidth="1"/>
    <col min="10755" max="10755" width="17.7109375" style="444" customWidth="1"/>
    <col min="10756" max="10756" width="9.140625" style="444"/>
    <col min="10757" max="10757" width="12.5703125" style="444" customWidth="1"/>
    <col min="10758" max="10758" width="13" style="444" customWidth="1"/>
    <col min="10759" max="10759" width="9.140625" style="444" customWidth="1"/>
    <col min="10760" max="11007" width="9.140625" style="444"/>
    <col min="11008" max="11008" width="33.140625" style="444" customWidth="1"/>
    <col min="11009" max="11009" width="16" style="444" customWidth="1"/>
    <col min="11010" max="11010" width="12.140625" style="444" customWidth="1"/>
    <col min="11011" max="11011" width="17.7109375" style="444" customWidth="1"/>
    <col min="11012" max="11012" width="9.140625" style="444"/>
    <col min="11013" max="11013" width="12.5703125" style="444" customWidth="1"/>
    <col min="11014" max="11014" width="13" style="444" customWidth="1"/>
    <col min="11015" max="11015" width="9.140625" style="444" customWidth="1"/>
    <col min="11016" max="11263" width="9.140625" style="444"/>
    <col min="11264" max="11264" width="33.140625" style="444" customWidth="1"/>
    <col min="11265" max="11265" width="16" style="444" customWidth="1"/>
    <col min="11266" max="11266" width="12.140625" style="444" customWidth="1"/>
    <col min="11267" max="11267" width="17.7109375" style="444" customWidth="1"/>
    <col min="11268" max="11268" width="9.140625" style="444"/>
    <col min="11269" max="11269" width="12.5703125" style="444" customWidth="1"/>
    <col min="11270" max="11270" width="13" style="444" customWidth="1"/>
    <col min="11271" max="11271" width="9.140625" style="444" customWidth="1"/>
    <col min="11272" max="11519" width="9.140625" style="444"/>
    <col min="11520" max="11520" width="33.140625" style="444" customWidth="1"/>
    <col min="11521" max="11521" width="16" style="444" customWidth="1"/>
    <col min="11522" max="11522" width="12.140625" style="444" customWidth="1"/>
    <col min="11523" max="11523" width="17.7109375" style="444" customWidth="1"/>
    <col min="11524" max="11524" width="9.140625" style="444"/>
    <col min="11525" max="11525" width="12.5703125" style="444" customWidth="1"/>
    <col min="11526" max="11526" width="13" style="444" customWidth="1"/>
    <col min="11527" max="11527" width="9.140625" style="444" customWidth="1"/>
    <col min="11528" max="11775" width="9.140625" style="444"/>
    <col min="11776" max="11776" width="33.140625" style="444" customWidth="1"/>
    <col min="11777" max="11777" width="16" style="444" customWidth="1"/>
    <col min="11778" max="11778" width="12.140625" style="444" customWidth="1"/>
    <col min="11779" max="11779" width="17.7109375" style="444" customWidth="1"/>
    <col min="11780" max="11780" width="9.140625" style="444"/>
    <col min="11781" max="11781" width="12.5703125" style="444" customWidth="1"/>
    <col min="11782" max="11782" width="13" style="444" customWidth="1"/>
    <col min="11783" max="11783" width="9.140625" style="444" customWidth="1"/>
    <col min="11784" max="12031" width="9.140625" style="444"/>
    <col min="12032" max="12032" width="33.140625" style="444" customWidth="1"/>
    <col min="12033" max="12033" width="16" style="444" customWidth="1"/>
    <col min="12034" max="12034" width="12.140625" style="444" customWidth="1"/>
    <col min="12035" max="12035" width="17.7109375" style="444" customWidth="1"/>
    <col min="12036" max="12036" width="9.140625" style="444"/>
    <col min="12037" max="12037" width="12.5703125" style="444" customWidth="1"/>
    <col min="12038" max="12038" width="13" style="444" customWidth="1"/>
    <col min="12039" max="12039" width="9.140625" style="444" customWidth="1"/>
    <col min="12040" max="12287" width="9.140625" style="444"/>
    <col min="12288" max="12288" width="33.140625" style="444" customWidth="1"/>
    <col min="12289" max="12289" width="16" style="444" customWidth="1"/>
    <col min="12290" max="12290" width="12.140625" style="444" customWidth="1"/>
    <col min="12291" max="12291" width="17.7109375" style="444" customWidth="1"/>
    <col min="12292" max="12292" width="9.140625" style="444"/>
    <col min="12293" max="12293" width="12.5703125" style="444" customWidth="1"/>
    <col min="12294" max="12294" width="13" style="444" customWidth="1"/>
    <col min="12295" max="12295" width="9.140625" style="444" customWidth="1"/>
    <col min="12296" max="12543" width="9.140625" style="444"/>
    <col min="12544" max="12544" width="33.140625" style="444" customWidth="1"/>
    <col min="12545" max="12545" width="16" style="444" customWidth="1"/>
    <col min="12546" max="12546" width="12.140625" style="444" customWidth="1"/>
    <col min="12547" max="12547" width="17.7109375" style="444" customWidth="1"/>
    <col min="12548" max="12548" width="9.140625" style="444"/>
    <col min="12549" max="12549" width="12.5703125" style="444" customWidth="1"/>
    <col min="12550" max="12550" width="13" style="444" customWidth="1"/>
    <col min="12551" max="12551" width="9.140625" style="444" customWidth="1"/>
    <col min="12552" max="12799" width="9.140625" style="444"/>
    <col min="12800" max="12800" width="33.140625" style="444" customWidth="1"/>
    <col min="12801" max="12801" width="16" style="444" customWidth="1"/>
    <col min="12802" max="12802" width="12.140625" style="444" customWidth="1"/>
    <col min="12803" max="12803" width="17.7109375" style="444" customWidth="1"/>
    <col min="12804" max="12804" width="9.140625" style="444"/>
    <col min="12805" max="12805" width="12.5703125" style="444" customWidth="1"/>
    <col min="12806" max="12806" width="13" style="444" customWidth="1"/>
    <col min="12807" max="12807" width="9.140625" style="444" customWidth="1"/>
    <col min="12808" max="13055" width="9.140625" style="444"/>
    <col min="13056" max="13056" width="33.140625" style="444" customWidth="1"/>
    <col min="13057" max="13057" width="16" style="444" customWidth="1"/>
    <col min="13058" max="13058" width="12.140625" style="444" customWidth="1"/>
    <col min="13059" max="13059" width="17.7109375" style="444" customWidth="1"/>
    <col min="13060" max="13060" width="9.140625" style="444"/>
    <col min="13061" max="13061" width="12.5703125" style="444" customWidth="1"/>
    <col min="13062" max="13062" width="13" style="444" customWidth="1"/>
    <col min="13063" max="13063" width="9.140625" style="444" customWidth="1"/>
    <col min="13064" max="13311" width="9.140625" style="444"/>
    <col min="13312" max="13312" width="33.140625" style="444" customWidth="1"/>
    <col min="13313" max="13313" width="16" style="444" customWidth="1"/>
    <col min="13314" max="13314" width="12.140625" style="444" customWidth="1"/>
    <col min="13315" max="13315" width="17.7109375" style="444" customWidth="1"/>
    <col min="13316" max="13316" width="9.140625" style="444"/>
    <col min="13317" max="13317" width="12.5703125" style="444" customWidth="1"/>
    <col min="13318" max="13318" width="13" style="444" customWidth="1"/>
    <col min="13319" max="13319" width="9.140625" style="444" customWidth="1"/>
    <col min="13320" max="13567" width="9.140625" style="444"/>
    <col min="13568" max="13568" width="33.140625" style="444" customWidth="1"/>
    <col min="13569" max="13569" width="16" style="444" customWidth="1"/>
    <col min="13570" max="13570" width="12.140625" style="444" customWidth="1"/>
    <col min="13571" max="13571" width="17.7109375" style="444" customWidth="1"/>
    <col min="13572" max="13572" width="9.140625" style="444"/>
    <col min="13573" max="13573" width="12.5703125" style="444" customWidth="1"/>
    <col min="13574" max="13574" width="13" style="444" customWidth="1"/>
    <col min="13575" max="13575" width="9.140625" style="444" customWidth="1"/>
    <col min="13576" max="13823" width="9.140625" style="444"/>
    <col min="13824" max="13824" width="33.140625" style="444" customWidth="1"/>
    <col min="13825" max="13825" width="16" style="444" customWidth="1"/>
    <col min="13826" max="13826" width="12.140625" style="444" customWidth="1"/>
    <col min="13827" max="13827" width="17.7109375" style="444" customWidth="1"/>
    <col min="13828" max="13828" width="9.140625" style="444"/>
    <col min="13829" max="13829" width="12.5703125" style="444" customWidth="1"/>
    <col min="13830" max="13830" width="13" style="444" customWidth="1"/>
    <col min="13831" max="13831" width="9.140625" style="444" customWidth="1"/>
    <col min="13832" max="14079" width="9.140625" style="444"/>
    <col min="14080" max="14080" width="33.140625" style="444" customWidth="1"/>
    <col min="14081" max="14081" width="16" style="444" customWidth="1"/>
    <col min="14082" max="14082" width="12.140625" style="444" customWidth="1"/>
    <col min="14083" max="14083" width="17.7109375" style="444" customWidth="1"/>
    <col min="14084" max="14084" width="9.140625" style="444"/>
    <col min="14085" max="14085" width="12.5703125" style="444" customWidth="1"/>
    <col min="14086" max="14086" width="13" style="444" customWidth="1"/>
    <col min="14087" max="14087" width="9.140625" style="444" customWidth="1"/>
    <col min="14088" max="14335" width="9.140625" style="444"/>
    <col min="14336" max="14336" width="33.140625" style="444" customWidth="1"/>
    <col min="14337" max="14337" width="16" style="444" customWidth="1"/>
    <col min="14338" max="14338" width="12.140625" style="444" customWidth="1"/>
    <col min="14339" max="14339" width="17.7109375" style="444" customWidth="1"/>
    <col min="14340" max="14340" width="9.140625" style="444"/>
    <col min="14341" max="14341" width="12.5703125" style="444" customWidth="1"/>
    <col min="14342" max="14342" width="13" style="444" customWidth="1"/>
    <col min="14343" max="14343" width="9.140625" style="444" customWidth="1"/>
    <col min="14344" max="14591" width="9.140625" style="444"/>
    <col min="14592" max="14592" width="33.140625" style="444" customWidth="1"/>
    <col min="14593" max="14593" width="16" style="444" customWidth="1"/>
    <col min="14594" max="14594" width="12.140625" style="444" customWidth="1"/>
    <col min="14595" max="14595" width="17.7109375" style="444" customWidth="1"/>
    <col min="14596" max="14596" width="9.140625" style="444"/>
    <col min="14597" max="14597" width="12.5703125" style="444" customWidth="1"/>
    <col min="14598" max="14598" width="13" style="444" customWidth="1"/>
    <col min="14599" max="14599" width="9.140625" style="444" customWidth="1"/>
    <col min="14600" max="14847" width="9.140625" style="444"/>
    <col min="14848" max="14848" width="33.140625" style="444" customWidth="1"/>
    <col min="14849" max="14849" width="16" style="444" customWidth="1"/>
    <col min="14850" max="14850" width="12.140625" style="444" customWidth="1"/>
    <col min="14851" max="14851" width="17.7109375" style="444" customWidth="1"/>
    <col min="14852" max="14852" width="9.140625" style="444"/>
    <col min="14853" max="14853" width="12.5703125" style="444" customWidth="1"/>
    <col min="14854" max="14854" width="13" style="444" customWidth="1"/>
    <col min="14855" max="14855" width="9.140625" style="444" customWidth="1"/>
    <col min="14856" max="15103" width="9.140625" style="444"/>
    <col min="15104" max="15104" width="33.140625" style="444" customWidth="1"/>
    <col min="15105" max="15105" width="16" style="444" customWidth="1"/>
    <col min="15106" max="15106" width="12.140625" style="444" customWidth="1"/>
    <col min="15107" max="15107" width="17.7109375" style="444" customWidth="1"/>
    <col min="15108" max="15108" width="9.140625" style="444"/>
    <col min="15109" max="15109" width="12.5703125" style="444" customWidth="1"/>
    <col min="15110" max="15110" width="13" style="444" customWidth="1"/>
    <col min="15111" max="15111" width="9.140625" style="444" customWidth="1"/>
    <col min="15112" max="15359" width="9.140625" style="444"/>
    <col min="15360" max="15360" width="33.140625" style="444" customWidth="1"/>
    <col min="15361" max="15361" width="16" style="444" customWidth="1"/>
    <col min="15362" max="15362" width="12.140625" style="444" customWidth="1"/>
    <col min="15363" max="15363" width="17.7109375" style="444" customWidth="1"/>
    <col min="15364" max="15364" width="9.140625" style="444"/>
    <col min="15365" max="15365" width="12.5703125" style="444" customWidth="1"/>
    <col min="15366" max="15366" width="13" style="444" customWidth="1"/>
    <col min="15367" max="15367" width="9.140625" style="444" customWidth="1"/>
    <col min="15368" max="15615" width="9.140625" style="444"/>
    <col min="15616" max="15616" width="33.140625" style="444" customWidth="1"/>
    <col min="15617" max="15617" width="16" style="444" customWidth="1"/>
    <col min="15618" max="15618" width="12.140625" style="444" customWidth="1"/>
    <col min="15619" max="15619" width="17.7109375" style="444" customWidth="1"/>
    <col min="15620" max="15620" width="9.140625" style="444"/>
    <col min="15621" max="15621" width="12.5703125" style="444" customWidth="1"/>
    <col min="15622" max="15622" width="13" style="444" customWidth="1"/>
    <col min="15623" max="15623" width="9.140625" style="444" customWidth="1"/>
    <col min="15624" max="15871" width="9.140625" style="444"/>
    <col min="15872" max="15872" width="33.140625" style="444" customWidth="1"/>
    <col min="15873" max="15873" width="16" style="444" customWidth="1"/>
    <col min="15874" max="15874" width="12.140625" style="444" customWidth="1"/>
    <col min="15875" max="15875" width="17.7109375" style="444" customWidth="1"/>
    <col min="15876" max="15876" width="9.140625" style="444"/>
    <col min="15877" max="15877" width="12.5703125" style="444" customWidth="1"/>
    <col min="15878" max="15878" width="13" style="444" customWidth="1"/>
    <col min="15879" max="15879" width="9.140625" style="444" customWidth="1"/>
    <col min="15880" max="16127" width="9.140625" style="444"/>
    <col min="16128" max="16128" width="33.140625" style="444" customWidth="1"/>
    <col min="16129" max="16129" width="16" style="444" customWidth="1"/>
    <col min="16130" max="16130" width="12.140625" style="444" customWidth="1"/>
    <col min="16131" max="16131" width="17.7109375" style="444" customWidth="1"/>
    <col min="16132" max="16132" width="9.140625" style="444"/>
    <col min="16133" max="16133" width="12.5703125" style="444" customWidth="1"/>
    <col min="16134" max="16134" width="13" style="444" customWidth="1"/>
    <col min="16135" max="16135" width="9.140625" style="444" customWidth="1"/>
    <col min="16136" max="16384" width="9.140625" style="444"/>
  </cols>
  <sheetData>
    <row r="1" spans="1:7" ht="49.5" customHeight="1" x14ac:dyDescent="0.25">
      <c r="A1" s="713" t="s">
        <v>634</v>
      </c>
      <c r="B1" s="713"/>
      <c r="C1" s="713"/>
      <c r="D1" s="713"/>
      <c r="E1" s="713"/>
    </row>
    <row r="2" spans="1:7" ht="15.75" x14ac:dyDescent="0.25">
      <c r="A2" s="714" t="s">
        <v>635</v>
      </c>
      <c r="B2" s="714"/>
      <c r="C2" s="715"/>
      <c r="D2" s="715"/>
      <c r="E2" s="715"/>
    </row>
    <row r="3" spans="1:7" ht="142.5" customHeight="1" x14ac:dyDescent="0.25">
      <c r="A3" s="716"/>
      <c r="B3" s="716"/>
      <c r="C3" s="716"/>
      <c r="D3" s="716"/>
      <c r="E3" s="716"/>
      <c r="F3" s="445"/>
      <c r="G3" s="445"/>
    </row>
    <row r="4" spans="1:7" ht="15.75" x14ac:dyDescent="0.25">
      <c r="A4" s="446" t="s">
        <v>636</v>
      </c>
      <c r="B4" s="446"/>
      <c r="C4" s="447"/>
      <c r="D4" s="447"/>
      <c r="E4" s="446"/>
      <c r="F4" s="445"/>
      <c r="G4" s="445"/>
    </row>
    <row r="5" spans="1:7" x14ac:dyDescent="0.25">
      <c r="A5" s="712" t="s">
        <v>637</v>
      </c>
      <c r="B5" s="712"/>
      <c r="C5" s="712"/>
      <c r="D5" s="712"/>
      <c r="E5" s="712"/>
    </row>
    <row r="6" spans="1:7" x14ac:dyDescent="0.25">
      <c r="A6" s="712" t="s">
        <v>775</v>
      </c>
      <c r="B6" s="712"/>
      <c r="C6" s="712"/>
      <c r="D6" s="712"/>
      <c r="E6" s="712"/>
    </row>
    <row r="7" spans="1:7" x14ac:dyDescent="0.25">
      <c r="A7" s="717"/>
      <c r="B7" s="717"/>
      <c r="C7" s="717"/>
      <c r="D7" s="717"/>
      <c r="E7" s="717"/>
    </row>
    <row r="8" spans="1:7" ht="99.6" customHeight="1" x14ac:dyDescent="0.25">
      <c r="A8" s="448" t="s">
        <v>638</v>
      </c>
      <c r="B8" s="448" t="s">
        <v>721</v>
      </c>
      <c r="C8" s="448" t="s">
        <v>639</v>
      </c>
      <c r="D8" s="448" t="s">
        <v>640</v>
      </c>
      <c r="E8" s="448" t="s">
        <v>641</v>
      </c>
    </row>
    <row r="9" spans="1:7" x14ac:dyDescent="0.25">
      <c r="A9" s="449">
        <v>1</v>
      </c>
      <c r="B9" s="449"/>
      <c r="C9" s="449">
        <v>2</v>
      </c>
      <c r="D9" s="449">
        <v>3</v>
      </c>
      <c r="E9" s="449">
        <v>4</v>
      </c>
    </row>
    <row r="10" spans="1:7" ht="24" customHeight="1" x14ac:dyDescent="0.25">
      <c r="A10" s="450" t="s">
        <v>642</v>
      </c>
      <c r="B10" s="569">
        <f>ROUND(43894.45/9644486.78,4)</f>
        <v>4.5999999999999999E-3</v>
      </c>
      <c r="C10" s="451" t="e">
        <f>ROUND('ПНЦ на УК'!D72*'расчет 2 эт ПИР'!B10,0)</f>
        <v>#REF!</v>
      </c>
      <c r="D10" s="452">
        <v>1</v>
      </c>
      <c r="E10" s="453" t="e">
        <f>ROUND(C10*D10,0)</f>
        <v>#REF!</v>
      </c>
    </row>
    <row r="11" spans="1:7" ht="34.5" customHeight="1" x14ac:dyDescent="0.25">
      <c r="A11" s="450" t="s">
        <v>643</v>
      </c>
      <c r="B11" s="569">
        <f>ROUND(442447.59/9644486.78,4)</f>
        <v>4.5900000000000003E-2</v>
      </c>
      <c r="C11" s="451" t="e">
        <f>ROUND('ПНЦ на УК'!D72*'расчет 2 эт ПИР'!B11,0)</f>
        <v>#REF!</v>
      </c>
      <c r="D11" s="452">
        <v>1.012</v>
      </c>
      <c r="E11" s="453" t="e">
        <f>ROUND(C11*D11,0)</f>
        <v>#REF!</v>
      </c>
      <c r="F11" s="454">
        <f>((4.378/4.273)-1)/2+1</f>
        <v>1.0122864498010766</v>
      </c>
      <c r="G11" s="455"/>
    </row>
    <row r="12" spans="1:7" ht="18.600000000000001" customHeight="1" x14ac:dyDescent="0.25">
      <c r="A12" s="456" t="s">
        <v>122</v>
      </c>
      <c r="B12" s="456"/>
      <c r="C12" s="457" t="e">
        <f>C11+C10</f>
        <v>#REF!</v>
      </c>
      <c r="D12" s="458"/>
      <c r="E12" s="458" t="e">
        <f>E11+E10</f>
        <v>#REF!</v>
      </c>
    </row>
    <row r="13" spans="1:7" ht="18.600000000000001" customHeight="1" x14ac:dyDescent="0.25">
      <c r="A13" s="450" t="s">
        <v>46</v>
      </c>
      <c r="B13" s="450"/>
      <c r="C13" s="457" t="e">
        <f>C12*0.2</f>
        <v>#REF!</v>
      </c>
      <c r="D13" s="458"/>
      <c r="E13" s="458" t="e">
        <f>E12*0.2</f>
        <v>#REF!</v>
      </c>
      <c r="F13" s="460"/>
      <c r="G13" s="460"/>
    </row>
    <row r="14" spans="1:7" ht="24" customHeight="1" x14ac:dyDescent="0.25">
      <c r="A14" s="456" t="s">
        <v>644</v>
      </c>
      <c r="B14" s="456"/>
      <c r="C14" s="457" t="e">
        <f>C12+C13</f>
        <v>#REF!</v>
      </c>
      <c r="D14" s="458"/>
      <c r="E14" s="458" t="e">
        <f>SUM(E12:E13)</f>
        <v>#REF!</v>
      </c>
    </row>
    <row r="15" spans="1:7" x14ac:dyDescent="0.25">
      <c r="A15" s="462"/>
      <c r="B15" s="462"/>
      <c r="C15" s="462"/>
      <c r="D15" s="462"/>
      <c r="E15" s="463"/>
    </row>
    <row r="16" spans="1:7" x14ac:dyDescent="0.25">
      <c r="A16" s="462" t="s">
        <v>720</v>
      </c>
      <c r="B16" s="462"/>
      <c r="C16" s="464"/>
      <c r="D16" s="462"/>
      <c r="E16" s="462"/>
    </row>
    <row r="17" spans="1:5" ht="24.75" customHeight="1" x14ac:dyDescent="0.25">
      <c r="A17" s="710" t="s">
        <v>645</v>
      </c>
      <c r="B17" s="710"/>
      <c r="C17" s="711"/>
      <c r="D17" s="711"/>
      <c r="E17" s="711"/>
    </row>
    <row r="18" spans="1:5" ht="22.5" customHeight="1" x14ac:dyDescent="0.25">
      <c r="A18" s="465" t="s">
        <v>646</v>
      </c>
      <c r="B18" s="465"/>
      <c r="C18" s="466"/>
      <c r="D18" s="467"/>
      <c r="E18" s="468"/>
    </row>
    <row r="19" spans="1:5" ht="49.5" customHeight="1" x14ac:dyDescent="0.25">
      <c r="A19" s="469"/>
      <c r="B19" s="469"/>
      <c r="C19" s="470"/>
      <c r="D19" s="469"/>
      <c r="E19" s="469"/>
    </row>
    <row r="20" spans="1:5" ht="15.75" x14ac:dyDescent="0.25">
      <c r="A20" s="471"/>
      <c r="B20" s="471"/>
      <c r="C20" s="447"/>
      <c r="D20" s="472"/>
      <c r="E20" s="471"/>
    </row>
  </sheetData>
  <mergeCells count="7">
    <mergeCell ref="A17:E17"/>
    <mergeCell ref="A6:E6"/>
    <mergeCell ref="A1:E1"/>
    <mergeCell ref="A2:E2"/>
    <mergeCell ref="A3:E3"/>
    <mergeCell ref="A5:E5"/>
    <mergeCell ref="A7:E7"/>
  </mergeCells>
  <pageMargins left="0.81" right="0.43" top="0.51" bottom="0.75" header="0.3" footer="0.3"/>
  <pageSetup paperSize="9" scale="65" fitToHeight="0" orientation="portrait" horizontalDpi="4294967295" verticalDpi="4294967295" r:id="rId1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  <pageSetUpPr fitToPage="1"/>
  </sheetPr>
  <dimension ref="A1:G20"/>
  <sheetViews>
    <sheetView view="pageBreakPreview" topLeftCell="A4" zoomScaleNormal="100" zoomScaleSheetLayoutView="100" workbookViewId="0">
      <selection activeCell="A25" sqref="A25"/>
    </sheetView>
  </sheetViews>
  <sheetFormatPr defaultRowHeight="15" x14ac:dyDescent="0.25"/>
  <cols>
    <col min="1" max="1" width="40.28515625" style="444" customWidth="1"/>
    <col min="2" max="2" width="19.5703125" style="444" customWidth="1"/>
    <col min="3" max="3" width="21.7109375" style="444" customWidth="1"/>
    <col min="4" max="4" width="14.7109375" style="444" customWidth="1"/>
    <col min="5" max="5" width="17.5703125" style="444" customWidth="1"/>
    <col min="6" max="6" width="13" style="444" customWidth="1"/>
    <col min="7" max="7" width="9.140625" style="444" customWidth="1"/>
    <col min="8" max="255" width="9.140625" style="444"/>
    <col min="256" max="256" width="33.140625" style="444" customWidth="1"/>
    <col min="257" max="257" width="16" style="444" customWidth="1"/>
    <col min="258" max="258" width="12.140625" style="444" customWidth="1"/>
    <col min="259" max="259" width="17.7109375" style="444" customWidth="1"/>
    <col min="260" max="260" width="9.140625" style="444"/>
    <col min="261" max="261" width="12.5703125" style="444" customWidth="1"/>
    <col min="262" max="262" width="13" style="444" customWidth="1"/>
    <col min="263" max="263" width="9.140625" style="444" customWidth="1"/>
    <col min="264" max="511" width="9.140625" style="444"/>
    <col min="512" max="512" width="33.140625" style="444" customWidth="1"/>
    <col min="513" max="513" width="16" style="444" customWidth="1"/>
    <col min="514" max="514" width="12.140625" style="444" customWidth="1"/>
    <col min="515" max="515" width="17.7109375" style="444" customWidth="1"/>
    <col min="516" max="516" width="9.140625" style="444"/>
    <col min="517" max="517" width="12.5703125" style="444" customWidth="1"/>
    <col min="518" max="518" width="13" style="444" customWidth="1"/>
    <col min="519" max="519" width="9.140625" style="444" customWidth="1"/>
    <col min="520" max="767" width="9.140625" style="444"/>
    <col min="768" max="768" width="33.140625" style="444" customWidth="1"/>
    <col min="769" max="769" width="16" style="444" customWidth="1"/>
    <col min="770" max="770" width="12.140625" style="444" customWidth="1"/>
    <col min="771" max="771" width="17.7109375" style="444" customWidth="1"/>
    <col min="772" max="772" width="9.140625" style="444"/>
    <col min="773" max="773" width="12.5703125" style="444" customWidth="1"/>
    <col min="774" max="774" width="13" style="444" customWidth="1"/>
    <col min="775" max="775" width="9.140625" style="444" customWidth="1"/>
    <col min="776" max="1023" width="9.140625" style="444"/>
    <col min="1024" max="1024" width="33.140625" style="444" customWidth="1"/>
    <col min="1025" max="1025" width="16" style="444" customWidth="1"/>
    <col min="1026" max="1026" width="12.140625" style="444" customWidth="1"/>
    <col min="1027" max="1027" width="17.7109375" style="444" customWidth="1"/>
    <col min="1028" max="1028" width="9.140625" style="444"/>
    <col min="1029" max="1029" width="12.5703125" style="444" customWidth="1"/>
    <col min="1030" max="1030" width="13" style="444" customWidth="1"/>
    <col min="1031" max="1031" width="9.140625" style="444" customWidth="1"/>
    <col min="1032" max="1279" width="9.140625" style="444"/>
    <col min="1280" max="1280" width="33.140625" style="444" customWidth="1"/>
    <col min="1281" max="1281" width="16" style="444" customWidth="1"/>
    <col min="1282" max="1282" width="12.140625" style="444" customWidth="1"/>
    <col min="1283" max="1283" width="17.7109375" style="444" customWidth="1"/>
    <col min="1284" max="1284" width="9.140625" style="444"/>
    <col min="1285" max="1285" width="12.5703125" style="444" customWidth="1"/>
    <col min="1286" max="1286" width="13" style="444" customWidth="1"/>
    <col min="1287" max="1287" width="9.140625" style="444" customWidth="1"/>
    <col min="1288" max="1535" width="9.140625" style="444"/>
    <col min="1536" max="1536" width="33.140625" style="444" customWidth="1"/>
    <col min="1537" max="1537" width="16" style="444" customWidth="1"/>
    <col min="1538" max="1538" width="12.140625" style="444" customWidth="1"/>
    <col min="1539" max="1539" width="17.7109375" style="444" customWidth="1"/>
    <col min="1540" max="1540" width="9.140625" style="444"/>
    <col min="1541" max="1541" width="12.5703125" style="444" customWidth="1"/>
    <col min="1542" max="1542" width="13" style="444" customWidth="1"/>
    <col min="1543" max="1543" width="9.140625" style="444" customWidth="1"/>
    <col min="1544" max="1791" width="9.140625" style="444"/>
    <col min="1792" max="1792" width="33.140625" style="444" customWidth="1"/>
    <col min="1793" max="1793" width="16" style="444" customWidth="1"/>
    <col min="1794" max="1794" width="12.140625" style="444" customWidth="1"/>
    <col min="1795" max="1795" width="17.7109375" style="444" customWidth="1"/>
    <col min="1796" max="1796" width="9.140625" style="444"/>
    <col min="1797" max="1797" width="12.5703125" style="444" customWidth="1"/>
    <col min="1798" max="1798" width="13" style="444" customWidth="1"/>
    <col min="1799" max="1799" width="9.140625" style="444" customWidth="1"/>
    <col min="1800" max="2047" width="9.140625" style="444"/>
    <col min="2048" max="2048" width="33.140625" style="444" customWidth="1"/>
    <col min="2049" max="2049" width="16" style="444" customWidth="1"/>
    <col min="2050" max="2050" width="12.140625" style="444" customWidth="1"/>
    <col min="2051" max="2051" width="17.7109375" style="444" customWidth="1"/>
    <col min="2052" max="2052" width="9.140625" style="444"/>
    <col min="2053" max="2053" width="12.5703125" style="444" customWidth="1"/>
    <col min="2054" max="2054" width="13" style="444" customWidth="1"/>
    <col min="2055" max="2055" width="9.140625" style="444" customWidth="1"/>
    <col min="2056" max="2303" width="9.140625" style="444"/>
    <col min="2304" max="2304" width="33.140625" style="444" customWidth="1"/>
    <col min="2305" max="2305" width="16" style="444" customWidth="1"/>
    <col min="2306" max="2306" width="12.140625" style="444" customWidth="1"/>
    <col min="2307" max="2307" width="17.7109375" style="444" customWidth="1"/>
    <col min="2308" max="2308" width="9.140625" style="444"/>
    <col min="2309" max="2309" width="12.5703125" style="444" customWidth="1"/>
    <col min="2310" max="2310" width="13" style="444" customWidth="1"/>
    <col min="2311" max="2311" width="9.140625" style="444" customWidth="1"/>
    <col min="2312" max="2559" width="9.140625" style="444"/>
    <col min="2560" max="2560" width="33.140625" style="444" customWidth="1"/>
    <col min="2561" max="2561" width="16" style="444" customWidth="1"/>
    <col min="2562" max="2562" width="12.140625" style="444" customWidth="1"/>
    <col min="2563" max="2563" width="17.7109375" style="444" customWidth="1"/>
    <col min="2564" max="2564" width="9.140625" style="444"/>
    <col min="2565" max="2565" width="12.5703125" style="444" customWidth="1"/>
    <col min="2566" max="2566" width="13" style="444" customWidth="1"/>
    <col min="2567" max="2567" width="9.140625" style="444" customWidth="1"/>
    <col min="2568" max="2815" width="9.140625" style="444"/>
    <col min="2816" max="2816" width="33.140625" style="444" customWidth="1"/>
    <col min="2817" max="2817" width="16" style="444" customWidth="1"/>
    <col min="2818" max="2818" width="12.140625" style="444" customWidth="1"/>
    <col min="2819" max="2819" width="17.7109375" style="444" customWidth="1"/>
    <col min="2820" max="2820" width="9.140625" style="444"/>
    <col min="2821" max="2821" width="12.5703125" style="444" customWidth="1"/>
    <col min="2822" max="2822" width="13" style="444" customWidth="1"/>
    <col min="2823" max="2823" width="9.140625" style="444" customWidth="1"/>
    <col min="2824" max="3071" width="9.140625" style="444"/>
    <col min="3072" max="3072" width="33.140625" style="444" customWidth="1"/>
    <col min="3073" max="3073" width="16" style="444" customWidth="1"/>
    <col min="3074" max="3074" width="12.140625" style="444" customWidth="1"/>
    <col min="3075" max="3075" width="17.7109375" style="444" customWidth="1"/>
    <col min="3076" max="3076" width="9.140625" style="444"/>
    <col min="3077" max="3077" width="12.5703125" style="444" customWidth="1"/>
    <col min="3078" max="3078" width="13" style="444" customWidth="1"/>
    <col min="3079" max="3079" width="9.140625" style="444" customWidth="1"/>
    <col min="3080" max="3327" width="9.140625" style="444"/>
    <col min="3328" max="3328" width="33.140625" style="444" customWidth="1"/>
    <col min="3329" max="3329" width="16" style="444" customWidth="1"/>
    <col min="3330" max="3330" width="12.140625" style="444" customWidth="1"/>
    <col min="3331" max="3331" width="17.7109375" style="444" customWidth="1"/>
    <col min="3332" max="3332" width="9.140625" style="444"/>
    <col min="3333" max="3333" width="12.5703125" style="444" customWidth="1"/>
    <col min="3334" max="3334" width="13" style="444" customWidth="1"/>
    <col min="3335" max="3335" width="9.140625" style="444" customWidth="1"/>
    <col min="3336" max="3583" width="9.140625" style="444"/>
    <col min="3584" max="3584" width="33.140625" style="444" customWidth="1"/>
    <col min="3585" max="3585" width="16" style="444" customWidth="1"/>
    <col min="3586" max="3586" width="12.140625" style="444" customWidth="1"/>
    <col min="3587" max="3587" width="17.7109375" style="444" customWidth="1"/>
    <col min="3588" max="3588" width="9.140625" style="444"/>
    <col min="3589" max="3589" width="12.5703125" style="444" customWidth="1"/>
    <col min="3590" max="3590" width="13" style="444" customWidth="1"/>
    <col min="3591" max="3591" width="9.140625" style="444" customWidth="1"/>
    <col min="3592" max="3839" width="9.140625" style="444"/>
    <col min="3840" max="3840" width="33.140625" style="444" customWidth="1"/>
    <col min="3841" max="3841" width="16" style="444" customWidth="1"/>
    <col min="3842" max="3842" width="12.140625" style="444" customWidth="1"/>
    <col min="3843" max="3843" width="17.7109375" style="444" customWidth="1"/>
    <col min="3844" max="3844" width="9.140625" style="444"/>
    <col min="3845" max="3845" width="12.5703125" style="444" customWidth="1"/>
    <col min="3846" max="3846" width="13" style="444" customWidth="1"/>
    <col min="3847" max="3847" width="9.140625" style="444" customWidth="1"/>
    <col min="3848" max="4095" width="9.140625" style="444"/>
    <col min="4096" max="4096" width="33.140625" style="444" customWidth="1"/>
    <col min="4097" max="4097" width="16" style="444" customWidth="1"/>
    <col min="4098" max="4098" width="12.140625" style="444" customWidth="1"/>
    <col min="4099" max="4099" width="17.7109375" style="444" customWidth="1"/>
    <col min="4100" max="4100" width="9.140625" style="444"/>
    <col min="4101" max="4101" width="12.5703125" style="444" customWidth="1"/>
    <col min="4102" max="4102" width="13" style="444" customWidth="1"/>
    <col min="4103" max="4103" width="9.140625" style="444" customWidth="1"/>
    <col min="4104" max="4351" width="9.140625" style="444"/>
    <col min="4352" max="4352" width="33.140625" style="444" customWidth="1"/>
    <col min="4353" max="4353" width="16" style="444" customWidth="1"/>
    <col min="4354" max="4354" width="12.140625" style="444" customWidth="1"/>
    <col min="4355" max="4355" width="17.7109375" style="444" customWidth="1"/>
    <col min="4356" max="4356" width="9.140625" style="444"/>
    <col min="4357" max="4357" width="12.5703125" style="444" customWidth="1"/>
    <col min="4358" max="4358" width="13" style="444" customWidth="1"/>
    <col min="4359" max="4359" width="9.140625" style="444" customWidth="1"/>
    <col min="4360" max="4607" width="9.140625" style="444"/>
    <col min="4608" max="4608" width="33.140625" style="444" customWidth="1"/>
    <col min="4609" max="4609" width="16" style="444" customWidth="1"/>
    <col min="4610" max="4610" width="12.140625" style="444" customWidth="1"/>
    <col min="4611" max="4611" width="17.7109375" style="444" customWidth="1"/>
    <col min="4612" max="4612" width="9.140625" style="444"/>
    <col min="4613" max="4613" width="12.5703125" style="444" customWidth="1"/>
    <col min="4614" max="4614" width="13" style="444" customWidth="1"/>
    <col min="4615" max="4615" width="9.140625" style="444" customWidth="1"/>
    <col min="4616" max="4863" width="9.140625" style="444"/>
    <col min="4864" max="4864" width="33.140625" style="444" customWidth="1"/>
    <col min="4865" max="4865" width="16" style="444" customWidth="1"/>
    <col min="4866" max="4866" width="12.140625" style="444" customWidth="1"/>
    <col min="4867" max="4867" width="17.7109375" style="444" customWidth="1"/>
    <col min="4868" max="4868" width="9.140625" style="444"/>
    <col min="4869" max="4869" width="12.5703125" style="444" customWidth="1"/>
    <col min="4870" max="4870" width="13" style="444" customWidth="1"/>
    <col min="4871" max="4871" width="9.140625" style="444" customWidth="1"/>
    <col min="4872" max="5119" width="9.140625" style="444"/>
    <col min="5120" max="5120" width="33.140625" style="444" customWidth="1"/>
    <col min="5121" max="5121" width="16" style="444" customWidth="1"/>
    <col min="5122" max="5122" width="12.140625" style="444" customWidth="1"/>
    <col min="5123" max="5123" width="17.7109375" style="444" customWidth="1"/>
    <col min="5124" max="5124" width="9.140625" style="444"/>
    <col min="5125" max="5125" width="12.5703125" style="444" customWidth="1"/>
    <col min="5126" max="5126" width="13" style="444" customWidth="1"/>
    <col min="5127" max="5127" width="9.140625" style="444" customWidth="1"/>
    <col min="5128" max="5375" width="9.140625" style="444"/>
    <col min="5376" max="5376" width="33.140625" style="444" customWidth="1"/>
    <col min="5377" max="5377" width="16" style="444" customWidth="1"/>
    <col min="5378" max="5378" width="12.140625" style="444" customWidth="1"/>
    <col min="5379" max="5379" width="17.7109375" style="444" customWidth="1"/>
    <col min="5380" max="5380" width="9.140625" style="444"/>
    <col min="5381" max="5381" width="12.5703125" style="444" customWidth="1"/>
    <col min="5382" max="5382" width="13" style="444" customWidth="1"/>
    <col min="5383" max="5383" width="9.140625" style="444" customWidth="1"/>
    <col min="5384" max="5631" width="9.140625" style="444"/>
    <col min="5632" max="5632" width="33.140625" style="444" customWidth="1"/>
    <col min="5633" max="5633" width="16" style="444" customWidth="1"/>
    <col min="5634" max="5634" width="12.140625" style="444" customWidth="1"/>
    <col min="5635" max="5635" width="17.7109375" style="444" customWidth="1"/>
    <col min="5636" max="5636" width="9.140625" style="444"/>
    <col min="5637" max="5637" width="12.5703125" style="444" customWidth="1"/>
    <col min="5638" max="5638" width="13" style="444" customWidth="1"/>
    <col min="5639" max="5639" width="9.140625" style="444" customWidth="1"/>
    <col min="5640" max="5887" width="9.140625" style="444"/>
    <col min="5888" max="5888" width="33.140625" style="444" customWidth="1"/>
    <col min="5889" max="5889" width="16" style="444" customWidth="1"/>
    <col min="5890" max="5890" width="12.140625" style="444" customWidth="1"/>
    <col min="5891" max="5891" width="17.7109375" style="444" customWidth="1"/>
    <col min="5892" max="5892" width="9.140625" style="444"/>
    <col min="5893" max="5893" width="12.5703125" style="444" customWidth="1"/>
    <col min="5894" max="5894" width="13" style="444" customWidth="1"/>
    <col min="5895" max="5895" width="9.140625" style="444" customWidth="1"/>
    <col min="5896" max="6143" width="9.140625" style="444"/>
    <col min="6144" max="6144" width="33.140625" style="444" customWidth="1"/>
    <col min="6145" max="6145" width="16" style="444" customWidth="1"/>
    <col min="6146" max="6146" width="12.140625" style="444" customWidth="1"/>
    <col min="6147" max="6147" width="17.7109375" style="444" customWidth="1"/>
    <col min="6148" max="6148" width="9.140625" style="444"/>
    <col min="6149" max="6149" width="12.5703125" style="444" customWidth="1"/>
    <col min="6150" max="6150" width="13" style="444" customWidth="1"/>
    <col min="6151" max="6151" width="9.140625" style="444" customWidth="1"/>
    <col min="6152" max="6399" width="9.140625" style="444"/>
    <col min="6400" max="6400" width="33.140625" style="444" customWidth="1"/>
    <col min="6401" max="6401" width="16" style="444" customWidth="1"/>
    <col min="6402" max="6402" width="12.140625" style="444" customWidth="1"/>
    <col min="6403" max="6403" width="17.7109375" style="444" customWidth="1"/>
    <col min="6404" max="6404" width="9.140625" style="444"/>
    <col min="6405" max="6405" width="12.5703125" style="444" customWidth="1"/>
    <col min="6406" max="6406" width="13" style="444" customWidth="1"/>
    <col min="6407" max="6407" width="9.140625" style="444" customWidth="1"/>
    <col min="6408" max="6655" width="9.140625" style="444"/>
    <col min="6656" max="6656" width="33.140625" style="444" customWidth="1"/>
    <col min="6657" max="6657" width="16" style="444" customWidth="1"/>
    <col min="6658" max="6658" width="12.140625" style="444" customWidth="1"/>
    <col min="6659" max="6659" width="17.7109375" style="444" customWidth="1"/>
    <col min="6660" max="6660" width="9.140625" style="444"/>
    <col min="6661" max="6661" width="12.5703125" style="444" customWidth="1"/>
    <col min="6662" max="6662" width="13" style="444" customWidth="1"/>
    <col min="6663" max="6663" width="9.140625" style="444" customWidth="1"/>
    <col min="6664" max="6911" width="9.140625" style="444"/>
    <col min="6912" max="6912" width="33.140625" style="444" customWidth="1"/>
    <col min="6913" max="6913" width="16" style="444" customWidth="1"/>
    <col min="6914" max="6914" width="12.140625" style="444" customWidth="1"/>
    <col min="6915" max="6915" width="17.7109375" style="444" customWidth="1"/>
    <col min="6916" max="6916" width="9.140625" style="444"/>
    <col min="6917" max="6917" width="12.5703125" style="444" customWidth="1"/>
    <col min="6918" max="6918" width="13" style="444" customWidth="1"/>
    <col min="6919" max="6919" width="9.140625" style="444" customWidth="1"/>
    <col min="6920" max="7167" width="9.140625" style="444"/>
    <col min="7168" max="7168" width="33.140625" style="444" customWidth="1"/>
    <col min="7169" max="7169" width="16" style="444" customWidth="1"/>
    <col min="7170" max="7170" width="12.140625" style="444" customWidth="1"/>
    <col min="7171" max="7171" width="17.7109375" style="444" customWidth="1"/>
    <col min="7172" max="7172" width="9.140625" style="444"/>
    <col min="7173" max="7173" width="12.5703125" style="444" customWidth="1"/>
    <col min="7174" max="7174" width="13" style="444" customWidth="1"/>
    <col min="7175" max="7175" width="9.140625" style="444" customWidth="1"/>
    <col min="7176" max="7423" width="9.140625" style="444"/>
    <col min="7424" max="7424" width="33.140625" style="444" customWidth="1"/>
    <col min="7425" max="7425" width="16" style="444" customWidth="1"/>
    <col min="7426" max="7426" width="12.140625" style="444" customWidth="1"/>
    <col min="7427" max="7427" width="17.7109375" style="444" customWidth="1"/>
    <col min="7428" max="7428" width="9.140625" style="444"/>
    <col min="7429" max="7429" width="12.5703125" style="444" customWidth="1"/>
    <col min="7430" max="7430" width="13" style="444" customWidth="1"/>
    <col min="7431" max="7431" width="9.140625" style="444" customWidth="1"/>
    <col min="7432" max="7679" width="9.140625" style="444"/>
    <col min="7680" max="7680" width="33.140625" style="444" customWidth="1"/>
    <col min="7681" max="7681" width="16" style="444" customWidth="1"/>
    <col min="7682" max="7682" width="12.140625" style="444" customWidth="1"/>
    <col min="7683" max="7683" width="17.7109375" style="444" customWidth="1"/>
    <col min="7684" max="7684" width="9.140625" style="444"/>
    <col min="7685" max="7685" width="12.5703125" style="444" customWidth="1"/>
    <col min="7686" max="7686" width="13" style="444" customWidth="1"/>
    <col min="7687" max="7687" width="9.140625" style="444" customWidth="1"/>
    <col min="7688" max="7935" width="9.140625" style="444"/>
    <col min="7936" max="7936" width="33.140625" style="444" customWidth="1"/>
    <col min="7937" max="7937" width="16" style="444" customWidth="1"/>
    <col min="7938" max="7938" width="12.140625" style="444" customWidth="1"/>
    <col min="7939" max="7939" width="17.7109375" style="444" customWidth="1"/>
    <col min="7940" max="7940" width="9.140625" style="444"/>
    <col min="7941" max="7941" width="12.5703125" style="444" customWidth="1"/>
    <col min="7942" max="7942" width="13" style="444" customWidth="1"/>
    <col min="7943" max="7943" width="9.140625" style="444" customWidth="1"/>
    <col min="7944" max="8191" width="9.140625" style="444"/>
    <col min="8192" max="8192" width="33.140625" style="444" customWidth="1"/>
    <col min="8193" max="8193" width="16" style="444" customWidth="1"/>
    <col min="8194" max="8194" width="12.140625" style="444" customWidth="1"/>
    <col min="8195" max="8195" width="17.7109375" style="444" customWidth="1"/>
    <col min="8196" max="8196" width="9.140625" style="444"/>
    <col min="8197" max="8197" width="12.5703125" style="444" customWidth="1"/>
    <col min="8198" max="8198" width="13" style="444" customWidth="1"/>
    <col min="8199" max="8199" width="9.140625" style="444" customWidth="1"/>
    <col min="8200" max="8447" width="9.140625" style="444"/>
    <col min="8448" max="8448" width="33.140625" style="444" customWidth="1"/>
    <col min="8449" max="8449" width="16" style="444" customWidth="1"/>
    <col min="8450" max="8450" width="12.140625" style="444" customWidth="1"/>
    <col min="8451" max="8451" width="17.7109375" style="444" customWidth="1"/>
    <col min="8452" max="8452" width="9.140625" style="444"/>
    <col min="8453" max="8453" width="12.5703125" style="444" customWidth="1"/>
    <col min="8454" max="8454" width="13" style="444" customWidth="1"/>
    <col min="8455" max="8455" width="9.140625" style="444" customWidth="1"/>
    <col min="8456" max="8703" width="9.140625" style="444"/>
    <col min="8704" max="8704" width="33.140625" style="444" customWidth="1"/>
    <col min="8705" max="8705" width="16" style="444" customWidth="1"/>
    <col min="8706" max="8706" width="12.140625" style="444" customWidth="1"/>
    <col min="8707" max="8707" width="17.7109375" style="444" customWidth="1"/>
    <col min="8708" max="8708" width="9.140625" style="444"/>
    <col min="8709" max="8709" width="12.5703125" style="444" customWidth="1"/>
    <col min="8710" max="8710" width="13" style="444" customWidth="1"/>
    <col min="8711" max="8711" width="9.140625" style="444" customWidth="1"/>
    <col min="8712" max="8959" width="9.140625" style="444"/>
    <col min="8960" max="8960" width="33.140625" style="444" customWidth="1"/>
    <col min="8961" max="8961" width="16" style="444" customWidth="1"/>
    <col min="8962" max="8962" width="12.140625" style="444" customWidth="1"/>
    <col min="8963" max="8963" width="17.7109375" style="444" customWidth="1"/>
    <col min="8964" max="8964" width="9.140625" style="444"/>
    <col min="8965" max="8965" width="12.5703125" style="444" customWidth="1"/>
    <col min="8966" max="8966" width="13" style="444" customWidth="1"/>
    <col min="8967" max="8967" width="9.140625" style="444" customWidth="1"/>
    <col min="8968" max="9215" width="9.140625" style="444"/>
    <col min="9216" max="9216" width="33.140625" style="444" customWidth="1"/>
    <col min="9217" max="9217" width="16" style="444" customWidth="1"/>
    <col min="9218" max="9218" width="12.140625" style="444" customWidth="1"/>
    <col min="9219" max="9219" width="17.7109375" style="444" customWidth="1"/>
    <col min="9220" max="9220" width="9.140625" style="444"/>
    <col min="9221" max="9221" width="12.5703125" style="444" customWidth="1"/>
    <col min="9222" max="9222" width="13" style="444" customWidth="1"/>
    <col min="9223" max="9223" width="9.140625" style="444" customWidth="1"/>
    <col min="9224" max="9471" width="9.140625" style="444"/>
    <col min="9472" max="9472" width="33.140625" style="444" customWidth="1"/>
    <col min="9473" max="9473" width="16" style="444" customWidth="1"/>
    <col min="9474" max="9474" width="12.140625" style="444" customWidth="1"/>
    <col min="9475" max="9475" width="17.7109375" style="444" customWidth="1"/>
    <col min="9476" max="9476" width="9.140625" style="444"/>
    <col min="9477" max="9477" width="12.5703125" style="444" customWidth="1"/>
    <col min="9478" max="9478" width="13" style="444" customWidth="1"/>
    <col min="9479" max="9479" width="9.140625" style="444" customWidth="1"/>
    <col min="9480" max="9727" width="9.140625" style="444"/>
    <col min="9728" max="9728" width="33.140625" style="444" customWidth="1"/>
    <col min="9729" max="9729" width="16" style="444" customWidth="1"/>
    <col min="9730" max="9730" width="12.140625" style="444" customWidth="1"/>
    <col min="9731" max="9731" width="17.7109375" style="444" customWidth="1"/>
    <col min="9732" max="9732" width="9.140625" style="444"/>
    <col min="9733" max="9733" width="12.5703125" style="444" customWidth="1"/>
    <col min="9734" max="9734" width="13" style="444" customWidth="1"/>
    <col min="9735" max="9735" width="9.140625" style="444" customWidth="1"/>
    <col min="9736" max="9983" width="9.140625" style="444"/>
    <col min="9984" max="9984" width="33.140625" style="444" customWidth="1"/>
    <col min="9985" max="9985" width="16" style="444" customWidth="1"/>
    <col min="9986" max="9986" width="12.140625" style="444" customWidth="1"/>
    <col min="9987" max="9987" width="17.7109375" style="444" customWidth="1"/>
    <col min="9988" max="9988" width="9.140625" style="444"/>
    <col min="9989" max="9989" width="12.5703125" style="444" customWidth="1"/>
    <col min="9990" max="9990" width="13" style="444" customWidth="1"/>
    <col min="9991" max="9991" width="9.140625" style="444" customWidth="1"/>
    <col min="9992" max="10239" width="9.140625" style="444"/>
    <col min="10240" max="10240" width="33.140625" style="444" customWidth="1"/>
    <col min="10241" max="10241" width="16" style="444" customWidth="1"/>
    <col min="10242" max="10242" width="12.140625" style="444" customWidth="1"/>
    <col min="10243" max="10243" width="17.7109375" style="444" customWidth="1"/>
    <col min="10244" max="10244" width="9.140625" style="444"/>
    <col min="10245" max="10245" width="12.5703125" style="444" customWidth="1"/>
    <col min="10246" max="10246" width="13" style="444" customWidth="1"/>
    <col min="10247" max="10247" width="9.140625" style="444" customWidth="1"/>
    <col min="10248" max="10495" width="9.140625" style="444"/>
    <col min="10496" max="10496" width="33.140625" style="444" customWidth="1"/>
    <col min="10497" max="10497" width="16" style="444" customWidth="1"/>
    <col min="10498" max="10498" width="12.140625" style="444" customWidth="1"/>
    <col min="10499" max="10499" width="17.7109375" style="444" customWidth="1"/>
    <col min="10500" max="10500" width="9.140625" style="444"/>
    <col min="10501" max="10501" width="12.5703125" style="444" customWidth="1"/>
    <col min="10502" max="10502" width="13" style="444" customWidth="1"/>
    <col min="10503" max="10503" width="9.140625" style="444" customWidth="1"/>
    <col min="10504" max="10751" width="9.140625" style="444"/>
    <col min="10752" max="10752" width="33.140625" style="444" customWidth="1"/>
    <col min="10753" max="10753" width="16" style="444" customWidth="1"/>
    <col min="10754" max="10754" width="12.140625" style="444" customWidth="1"/>
    <col min="10755" max="10755" width="17.7109375" style="444" customWidth="1"/>
    <col min="10756" max="10756" width="9.140625" style="444"/>
    <col min="10757" max="10757" width="12.5703125" style="444" customWidth="1"/>
    <col min="10758" max="10758" width="13" style="444" customWidth="1"/>
    <col min="10759" max="10759" width="9.140625" style="444" customWidth="1"/>
    <col min="10760" max="11007" width="9.140625" style="444"/>
    <col min="11008" max="11008" width="33.140625" style="444" customWidth="1"/>
    <col min="11009" max="11009" width="16" style="444" customWidth="1"/>
    <col min="11010" max="11010" width="12.140625" style="444" customWidth="1"/>
    <col min="11011" max="11011" width="17.7109375" style="444" customWidth="1"/>
    <col min="11012" max="11012" width="9.140625" style="444"/>
    <col min="11013" max="11013" width="12.5703125" style="444" customWidth="1"/>
    <col min="11014" max="11014" width="13" style="444" customWidth="1"/>
    <col min="11015" max="11015" width="9.140625" style="444" customWidth="1"/>
    <col min="11016" max="11263" width="9.140625" style="444"/>
    <col min="11264" max="11264" width="33.140625" style="444" customWidth="1"/>
    <col min="11265" max="11265" width="16" style="444" customWidth="1"/>
    <col min="11266" max="11266" width="12.140625" style="444" customWidth="1"/>
    <col min="11267" max="11267" width="17.7109375" style="444" customWidth="1"/>
    <col min="11268" max="11268" width="9.140625" style="444"/>
    <col min="11269" max="11269" width="12.5703125" style="444" customWidth="1"/>
    <col min="11270" max="11270" width="13" style="444" customWidth="1"/>
    <col min="11271" max="11271" width="9.140625" style="444" customWidth="1"/>
    <col min="11272" max="11519" width="9.140625" style="444"/>
    <col min="11520" max="11520" width="33.140625" style="444" customWidth="1"/>
    <col min="11521" max="11521" width="16" style="444" customWidth="1"/>
    <col min="11522" max="11522" width="12.140625" style="444" customWidth="1"/>
    <col min="11523" max="11523" width="17.7109375" style="444" customWidth="1"/>
    <col min="11524" max="11524" width="9.140625" style="444"/>
    <col min="11525" max="11525" width="12.5703125" style="444" customWidth="1"/>
    <col min="11526" max="11526" width="13" style="444" customWidth="1"/>
    <col min="11527" max="11527" width="9.140625" style="444" customWidth="1"/>
    <col min="11528" max="11775" width="9.140625" style="444"/>
    <col min="11776" max="11776" width="33.140625" style="444" customWidth="1"/>
    <col min="11777" max="11777" width="16" style="444" customWidth="1"/>
    <col min="11778" max="11778" width="12.140625" style="444" customWidth="1"/>
    <col min="11779" max="11779" width="17.7109375" style="444" customWidth="1"/>
    <col min="11780" max="11780" width="9.140625" style="444"/>
    <col min="11781" max="11781" width="12.5703125" style="444" customWidth="1"/>
    <col min="11782" max="11782" width="13" style="444" customWidth="1"/>
    <col min="11783" max="11783" width="9.140625" style="444" customWidth="1"/>
    <col min="11784" max="12031" width="9.140625" style="444"/>
    <col min="12032" max="12032" width="33.140625" style="444" customWidth="1"/>
    <col min="12033" max="12033" width="16" style="444" customWidth="1"/>
    <col min="12034" max="12034" width="12.140625" style="444" customWidth="1"/>
    <col min="12035" max="12035" width="17.7109375" style="444" customWidth="1"/>
    <col min="12036" max="12036" width="9.140625" style="444"/>
    <col min="12037" max="12037" width="12.5703125" style="444" customWidth="1"/>
    <col min="12038" max="12038" width="13" style="444" customWidth="1"/>
    <col min="12039" max="12039" width="9.140625" style="444" customWidth="1"/>
    <col min="12040" max="12287" width="9.140625" style="444"/>
    <col min="12288" max="12288" width="33.140625" style="444" customWidth="1"/>
    <col min="12289" max="12289" width="16" style="444" customWidth="1"/>
    <col min="12290" max="12290" width="12.140625" style="444" customWidth="1"/>
    <col min="12291" max="12291" width="17.7109375" style="444" customWidth="1"/>
    <col min="12292" max="12292" width="9.140625" style="444"/>
    <col min="12293" max="12293" width="12.5703125" style="444" customWidth="1"/>
    <col min="12294" max="12294" width="13" style="444" customWidth="1"/>
    <col min="12295" max="12295" width="9.140625" style="444" customWidth="1"/>
    <col min="12296" max="12543" width="9.140625" style="444"/>
    <col min="12544" max="12544" width="33.140625" style="444" customWidth="1"/>
    <col min="12545" max="12545" width="16" style="444" customWidth="1"/>
    <col min="12546" max="12546" width="12.140625" style="444" customWidth="1"/>
    <col min="12547" max="12547" width="17.7109375" style="444" customWidth="1"/>
    <col min="12548" max="12548" width="9.140625" style="444"/>
    <col min="12549" max="12549" width="12.5703125" style="444" customWidth="1"/>
    <col min="12550" max="12550" width="13" style="444" customWidth="1"/>
    <col min="12551" max="12551" width="9.140625" style="444" customWidth="1"/>
    <col min="12552" max="12799" width="9.140625" style="444"/>
    <col min="12800" max="12800" width="33.140625" style="444" customWidth="1"/>
    <col min="12801" max="12801" width="16" style="444" customWidth="1"/>
    <col min="12802" max="12802" width="12.140625" style="444" customWidth="1"/>
    <col min="12803" max="12803" width="17.7109375" style="444" customWidth="1"/>
    <col min="12804" max="12804" width="9.140625" style="444"/>
    <col min="12805" max="12805" width="12.5703125" style="444" customWidth="1"/>
    <col min="12806" max="12806" width="13" style="444" customWidth="1"/>
    <col min="12807" max="12807" width="9.140625" style="444" customWidth="1"/>
    <col min="12808" max="13055" width="9.140625" style="444"/>
    <col min="13056" max="13056" width="33.140625" style="444" customWidth="1"/>
    <col min="13057" max="13057" width="16" style="444" customWidth="1"/>
    <col min="13058" max="13058" width="12.140625" style="444" customWidth="1"/>
    <col min="13059" max="13059" width="17.7109375" style="444" customWidth="1"/>
    <col min="13060" max="13060" width="9.140625" style="444"/>
    <col min="13061" max="13061" width="12.5703125" style="444" customWidth="1"/>
    <col min="13062" max="13062" width="13" style="444" customWidth="1"/>
    <col min="13063" max="13063" width="9.140625" style="444" customWidth="1"/>
    <col min="13064" max="13311" width="9.140625" style="444"/>
    <col min="13312" max="13312" width="33.140625" style="444" customWidth="1"/>
    <col min="13313" max="13313" width="16" style="444" customWidth="1"/>
    <col min="13314" max="13314" width="12.140625" style="444" customWidth="1"/>
    <col min="13315" max="13315" width="17.7109375" style="444" customWidth="1"/>
    <col min="13316" max="13316" width="9.140625" style="444"/>
    <col min="13317" max="13317" width="12.5703125" style="444" customWidth="1"/>
    <col min="13318" max="13318" width="13" style="444" customWidth="1"/>
    <col min="13319" max="13319" width="9.140625" style="444" customWidth="1"/>
    <col min="13320" max="13567" width="9.140625" style="444"/>
    <col min="13568" max="13568" width="33.140625" style="444" customWidth="1"/>
    <col min="13569" max="13569" width="16" style="444" customWidth="1"/>
    <col min="13570" max="13570" width="12.140625" style="444" customWidth="1"/>
    <col min="13571" max="13571" width="17.7109375" style="444" customWidth="1"/>
    <col min="13572" max="13572" width="9.140625" style="444"/>
    <col min="13573" max="13573" width="12.5703125" style="444" customWidth="1"/>
    <col min="13574" max="13574" width="13" style="444" customWidth="1"/>
    <col min="13575" max="13575" width="9.140625" style="444" customWidth="1"/>
    <col min="13576" max="13823" width="9.140625" style="444"/>
    <col min="13824" max="13824" width="33.140625" style="444" customWidth="1"/>
    <col min="13825" max="13825" width="16" style="444" customWidth="1"/>
    <col min="13826" max="13826" width="12.140625" style="444" customWidth="1"/>
    <col min="13827" max="13827" width="17.7109375" style="444" customWidth="1"/>
    <col min="13828" max="13828" width="9.140625" style="444"/>
    <col min="13829" max="13829" width="12.5703125" style="444" customWidth="1"/>
    <col min="13830" max="13830" width="13" style="444" customWidth="1"/>
    <col min="13831" max="13831" width="9.140625" style="444" customWidth="1"/>
    <col min="13832" max="14079" width="9.140625" style="444"/>
    <col min="14080" max="14080" width="33.140625" style="444" customWidth="1"/>
    <col min="14081" max="14081" width="16" style="444" customWidth="1"/>
    <col min="14082" max="14082" width="12.140625" style="444" customWidth="1"/>
    <col min="14083" max="14083" width="17.7109375" style="444" customWidth="1"/>
    <col min="14084" max="14084" width="9.140625" style="444"/>
    <col min="14085" max="14085" width="12.5703125" style="444" customWidth="1"/>
    <col min="14086" max="14086" width="13" style="444" customWidth="1"/>
    <col min="14087" max="14087" width="9.140625" style="444" customWidth="1"/>
    <col min="14088" max="14335" width="9.140625" style="444"/>
    <col min="14336" max="14336" width="33.140625" style="444" customWidth="1"/>
    <col min="14337" max="14337" width="16" style="444" customWidth="1"/>
    <col min="14338" max="14338" width="12.140625" style="444" customWidth="1"/>
    <col min="14339" max="14339" width="17.7109375" style="444" customWidth="1"/>
    <col min="14340" max="14340" width="9.140625" style="444"/>
    <col min="14341" max="14341" width="12.5703125" style="444" customWidth="1"/>
    <col min="14342" max="14342" width="13" style="444" customWidth="1"/>
    <col min="14343" max="14343" width="9.140625" style="444" customWidth="1"/>
    <col min="14344" max="14591" width="9.140625" style="444"/>
    <col min="14592" max="14592" width="33.140625" style="444" customWidth="1"/>
    <col min="14593" max="14593" width="16" style="444" customWidth="1"/>
    <col min="14594" max="14594" width="12.140625" style="444" customWidth="1"/>
    <col min="14595" max="14595" width="17.7109375" style="444" customWidth="1"/>
    <col min="14596" max="14596" width="9.140625" style="444"/>
    <col min="14597" max="14597" width="12.5703125" style="444" customWidth="1"/>
    <col min="14598" max="14598" width="13" style="444" customWidth="1"/>
    <col min="14599" max="14599" width="9.140625" style="444" customWidth="1"/>
    <col min="14600" max="14847" width="9.140625" style="444"/>
    <col min="14848" max="14848" width="33.140625" style="444" customWidth="1"/>
    <col min="14849" max="14849" width="16" style="444" customWidth="1"/>
    <col min="14850" max="14850" width="12.140625" style="444" customWidth="1"/>
    <col min="14851" max="14851" width="17.7109375" style="444" customWidth="1"/>
    <col min="14852" max="14852" width="9.140625" style="444"/>
    <col min="14853" max="14853" width="12.5703125" style="444" customWidth="1"/>
    <col min="14854" max="14854" width="13" style="444" customWidth="1"/>
    <col min="14855" max="14855" width="9.140625" style="444" customWidth="1"/>
    <col min="14856" max="15103" width="9.140625" style="444"/>
    <col min="15104" max="15104" width="33.140625" style="444" customWidth="1"/>
    <col min="15105" max="15105" width="16" style="444" customWidth="1"/>
    <col min="15106" max="15106" width="12.140625" style="444" customWidth="1"/>
    <col min="15107" max="15107" width="17.7109375" style="444" customWidth="1"/>
    <col min="15108" max="15108" width="9.140625" style="444"/>
    <col min="15109" max="15109" width="12.5703125" style="444" customWidth="1"/>
    <col min="15110" max="15110" width="13" style="444" customWidth="1"/>
    <col min="15111" max="15111" width="9.140625" style="444" customWidth="1"/>
    <col min="15112" max="15359" width="9.140625" style="444"/>
    <col min="15360" max="15360" width="33.140625" style="444" customWidth="1"/>
    <col min="15361" max="15361" width="16" style="444" customWidth="1"/>
    <col min="15362" max="15362" width="12.140625" style="444" customWidth="1"/>
    <col min="15363" max="15363" width="17.7109375" style="444" customWidth="1"/>
    <col min="15364" max="15364" width="9.140625" style="444"/>
    <col min="15365" max="15365" width="12.5703125" style="444" customWidth="1"/>
    <col min="15366" max="15366" width="13" style="444" customWidth="1"/>
    <col min="15367" max="15367" width="9.140625" style="444" customWidth="1"/>
    <col min="15368" max="15615" width="9.140625" style="444"/>
    <col min="15616" max="15616" width="33.140625" style="444" customWidth="1"/>
    <col min="15617" max="15617" width="16" style="444" customWidth="1"/>
    <col min="15618" max="15618" width="12.140625" style="444" customWidth="1"/>
    <col min="15619" max="15619" width="17.7109375" style="444" customWidth="1"/>
    <col min="15620" max="15620" width="9.140625" style="444"/>
    <col min="15621" max="15621" width="12.5703125" style="444" customWidth="1"/>
    <col min="15622" max="15622" width="13" style="444" customWidth="1"/>
    <col min="15623" max="15623" width="9.140625" style="444" customWidth="1"/>
    <col min="15624" max="15871" width="9.140625" style="444"/>
    <col min="15872" max="15872" width="33.140625" style="444" customWidth="1"/>
    <col min="15873" max="15873" width="16" style="444" customWidth="1"/>
    <col min="15874" max="15874" width="12.140625" style="444" customWidth="1"/>
    <col min="15875" max="15875" width="17.7109375" style="444" customWidth="1"/>
    <col min="15876" max="15876" width="9.140625" style="444"/>
    <col min="15877" max="15877" width="12.5703125" style="444" customWidth="1"/>
    <col min="15878" max="15878" width="13" style="444" customWidth="1"/>
    <col min="15879" max="15879" width="9.140625" style="444" customWidth="1"/>
    <col min="15880" max="16127" width="9.140625" style="444"/>
    <col min="16128" max="16128" width="33.140625" style="444" customWidth="1"/>
    <col min="16129" max="16129" width="16" style="444" customWidth="1"/>
    <col min="16130" max="16130" width="12.140625" style="444" customWidth="1"/>
    <col min="16131" max="16131" width="17.7109375" style="444" customWidth="1"/>
    <col min="16132" max="16132" width="9.140625" style="444"/>
    <col min="16133" max="16133" width="12.5703125" style="444" customWidth="1"/>
    <col min="16134" max="16134" width="13" style="444" customWidth="1"/>
    <col min="16135" max="16135" width="9.140625" style="444" customWidth="1"/>
    <col min="16136" max="16384" width="9.140625" style="444"/>
  </cols>
  <sheetData>
    <row r="1" spans="1:7" ht="49.5" customHeight="1" x14ac:dyDescent="0.25">
      <c r="A1" s="713" t="s">
        <v>634</v>
      </c>
      <c r="B1" s="713"/>
      <c r="C1" s="713"/>
      <c r="D1" s="713"/>
      <c r="E1" s="713"/>
    </row>
    <row r="2" spans="1:7" ht="15.75" x14ac:dyDescent="0.25">
      <c r="A2" s="714" t="s">
        <v>635</v>
      </c>
      <c r="B2" s="714"/>
      <c r="C2" s="715"/>
      <c r="D2" s="715"/>
      <c r="E2" s="715"/>
    </row>
    <row r="3" spans="1:7" ht="142.5" customHeight="1" x14ac:dyDescent="0.25">
      <c r="A3" s="716"/>
      <c r="B3" s="716"/>
      <c r="C3" s="716"/>
      <c r="D3" s="716"/>
      <c r="E3" s="716"/>
      <c r="F3" s="445"/>
      <c r="G3" s="445"/>
    </row>
    <row r="4" spans="1:7" ht="15.75" x14ac:dyDescent="0.25">
      <c r="A4" s="446" t="s">
        <v>636</v>
      </c>
      <c r="B4" s="446"/>
      <c r="C4" s="447"/>
      <c r="D4" s="447"/>
      <c r="E4" s="446"/>
      <c r="F4" s="445"/>
      <c r="G4" s="445"/>
    </row>
    <row r="5" spans="1:7" x14ac:dyDescent="0.25">
      <c r="A5" s="712" t="s">
        <v>637</v>
      </c>
      <c r="B5" s="712"/>
      <c r="C5" s="712"/>
      <c r="D5" s="712"/>
      <c r="E5" s="712"/>
    </row>
    <row r="6" spans="1:7" x14ac:dyDescent="0.25">
      <c r="A6" s="712" t="s">
        <v>775</v>
      </c>
      <c r="B6" s="712"/>
      <c r="C6" s="712"/>
      <c r="D6" s="712"/>
      <c r="E6" s="712"/>
    </row>
    <row r="7" spans="1:7" x14ac:dyDescent="0.25">
      <c r="A7" s="717"/>
      <c r="B7" s="717"/>
      <c r="C7" s="717"/>
      <c r="D7" s="717"/>
      <c r="E7" s="717"/>
    </row>
    <row r="8" spans="1:7" ht="99.6" customHeight="1" x14ac:dyDescent="0.25">
      <c r="A8" s="448" t="s">
        <v>638</v>
      </c>
      <c r="B8" s="448" t="s">
        <v>721</v>
      </c>
      <c r="C8" s="448" t="s">
        <v>639</v>
      </c>
      <c r="D8" s="448" t="s">
        <v>640</v>
      </c>
      <c r="E8" s="448" t="s">
        <v>641</v>
      </c>
    </row>
    <row r="9" spans="1:7" x14ac:dyDescent="0.25">
      <c r="A9" s="449">
        <v>1</v>
      </c>
      <c r="B9" s="449"/>
      <c r="C9" s="449">
        <v>2</v>
      </c>
      <c r="D9" s="449">
        <v>3</v>
      </c>
      <c r="E9" s="449">
        <v>4</v>
      </c>
    </row>
    <row r="10" spans="1:7" ht="24" customHeight="1" x14ac:dyDescent="0.25">
      <c r="A10" s="450" t="s">
        <v>642</v>
      </c>
      <c r="B10" s="569">
        <f>ROUND(43894.45/9644486.78,4)</f>
        <v>4.5999999999999999E-3</v>
      </c>
      <c r="C10" s="451" t="e">
        <f>ROUND(B10*'ПНЦ на УК'!D114,0)</f>
        <v>#REF!</v>
      </c>
      <c r="D10" s="452">
        <v>1</v>
      </c>
      <c r="E10" s="453" t="e">
        <f>ROUND(C10*D10,0)</f>
        <v>#REF!</v>
      </c>
    </row>
    <row r="11" spans="1:7" ht="34.5" customHeight="1" x14ac:dyDescent="0.25">
      <c r="A11" s="450" t="s">
        <v>643</v>
      </c>
      <c r="B11" s="569">
        <f>ROUND(442447.59/9644486.78,4)</f>
        <v>4.5900000000000003E-2</v>
      </c>
      <c r="C11" s="451" t="e">
        <f>ROUND(B11*'ПНЦ на УК'!D114,0)</f>
        <v>#REF!</v>
      </c>
      <c r="D11" s="452">
        <v>1.012</v>
      </c>
      <c r="E11" s="453" t="e">
        <f>ROUND(C11*D11,0)</f>
        <v>#REF!</v>
      </c>
      <c r="F11" s="454">
        <f>((4.378/4.273)-1)/2+1</f>
        <v>1.0122864498010766</v>
      </c>
      <c r="G11" s="455"/>
    </row>
    <row r="12" spans="1:7" ht="18.600000000000001" customHeight="1" x14ac:dyDescent="0.25">
      <c r="A12" s="456" t="s">
        <v>122</v>
      </c>
      <c r="B12" s="456"/>
      <c r="C12" s="457" t="e">
        <f>C11+C10</f>
        <v>#REF!</v>
      </c>
      <c r="D12" s="458"/>
      <c r="E12" s="458" t="e">
        <f>E11+E10</f>
        <v>#REF!</v>
      </c>
    </row>
    <row r="13" spans="1:7" ht="18.600000000000001" customHeight="1" x14ac:dyDescent="0.25">
      <c r="A13" s="450" t="s">
        <v>46</v>
      </c>
      <c r="B13" s="450"/>
      <c r="C13" s="457" t="e">
        <f>C12*0.2</f>
        <v>#REF!</v>
      </c>
      <c r="D13" s="458"/>
      <c r="E13" s="458" t="e">
        <f>E12*0.2</f>
        <v>#REF!</v>
      </c>
      <c r="F13" s="460"/>
      <c r="G13" s="460"/>
    </row>
    <row r="14" spans="1:7" ht="24" customHeight="1" x14ac:dyDescent="0.25">
      <c r="A14" s="456" t="s">
        <v>644</v>
      </c>
      <c r="B14" s="456"/>
      <c r="C14" s="457" t="e">
        <f>C12+C13</f>
        <v>#REF!</v>
      </c>
      <c r="D14" s="458"/>
      <c r="E14" s="458" t="e">
        <f>SUM(E12:E13)</f>
        <v>#REF!</v>
      </c>
    </row>
    <row r="15" spans="1:7" x14ac:dyDescent="0.25">
      <c r="A15" s="462"/>
      <c r="B15" s="462"/>
      <c r="C15" s="462"/>
      <c r="D15" s="462"/>
      <c r="E15" s="463"/>
    </row>
    <row r="16" spans="1:7" x14ac:dyDescent="0.25">
      <c r="A16" s="462" t="s">
        <v>720</v>
      </c>
      <c r="B16" s="462"/>
      <c r="C16" s="464"/>
      <c r="D16" s="462"/>
      <c r="E16" s="462"/>
    </row>
    <row r="17" spans="1:5" ht="24" customHeight="1" x14ac:dyDescent="0.25">
      <c r="A17" s="710" t="s">
        <v>645</v>
      </c>
      <c r="B17" s="710"/>
      <c r="C17" s="711"/>
      <c r="D17" s="711"/>
      <c r="E17" s="711"/>
    </row>
    <row r="18" spans="1:5" ht="20.25" customHeight="1" x14ac:dyDescent="0.25">
      <c r="A18" s="465" t="s">
        <v>646</v>
      </c>
      <c r="B18" s="465"/>
      <c r="C18" s="466"/>
      <c r="D18" s="467"/>
      <c r="E18" s="468"/>
    </row>
    <row r="19" spans="1:5" ht="49.5" customHeight="1" x14ac:dyDescent="0.25">
      <c r="A19" s="469"/>
      <c r="B19" s="469"/>
      <c r="C19" s="470"/>
      <c r="D19" s="469"/>
      <c r="E19" s="469"/>
    </row>
    <row r="20" spans="1:5" ht="15.75" x14ac:dyDescent="0.25">
      <c r="A20" s="471"/>
      <c r="B20" s="471"/>
      <c r="C20" s="447"/>
      <c r="D20" s="472"/>
      <c r="E20" s="471"/>
    </row>
  </sheetData>
  <mergeCells count="7">
    <mergeCell ref="A17:E17"/>
    <mergeCell ref="A6:E6"/>
    <mergeCell ref="A1:E1"/>
    <mergeCell ref="A2:E2"/>
    <mergeCell ref="A3:E3"/>
    <mergeCell ref="A5:E5"/>
    <mergeCell ref="A7:E7"/>
  </mergeCells>
  <pageMargins left="0.81" right="0.43" top="0.51" bottom="0.75" header="0.3" footer="0.3"/>
  <pageSetup paperSize="9" scale="65" fitToHeight="0" orientation="portrait" horizontalDpi="4294967295" verticalDpi="4294967295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N71"/>
  <sheetViews>
    <sheetView showGridLines="0" view="pageBreakPreview" zoomScale="70" zoomScaleNormal="100" zoomScaleSheetLayoutView="70" workbookViewId="0">
      <selection activeCell="J21" sqref="J2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5" width="12.5703125" style="49" customWidth="1"/>
    <col min="6" max="6" width="16.710937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4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</row>
    <row r="2" spans="1:14" x14ac:dyDescent="0.25">
      <c r="A2" s="50"/>
      <c r="B2" s="290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53" customFormat="1" x14ac:dyDescent="0.25">
      <c r="A3" s="746" t="s">
        <v>488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4" s="53" customFormat="1" ht="21" customHeight="1" x14ac:dyDescent="0.25">
      <c r="A4" s="748" t="s">
        <v>461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4" ht="33" customHeight="1" x14ac:dyDescent="0.25">
      <c r="A5" s="50" t="s">
        <v>20</v>
      </c>
      <c r="B5" s="750" t="s">
        <v>776</v>
      </c>
      <c r="C5" s="750"/>
      <c r="D5" s="750"/>
      <c r="E5" s="750"/>
      <c r="F5" s="750"/>
      <c r="G5" s="750"/>
      <c r="H5" s="750"/>
      <c r="I5" s="750"/>
      <c r="J5" s="750"/>
      <c r="K5" s="750"/>
      <c r="L5" s="750"/>
    </row>
    <row r="6" spans="1:14" ht="13.5" customHeight="1" x14ac:dyDescent="0.25">
      <c r="A6" s="54" t="s">
        <v>97</v>
      </c>
      <c r="B6" s="751" t="s">
        <v>98</v>
      </c>
      <c r="C6" s="752"/>
      <c r="D6" s="757" t="s">
        <v>818</v>
      </c>
      <c r="E6" s="758"/>
      <c r="F6" s="758"/>
      <c r="G6" s="758"/>
      <c r="H6" s="759"/>
      <c r="I6" s="751" t="s">
        <v>100</v>
      </c>
      <c r="J6" s="755"/>
      <c r="K6" s="755"/>
      <c r="L6" s="752"/>
    </row>
    <row r="7" spans="1:14" ht="62.25" customHeight="1" x14ac:dyDescent="0.25">
      <c r="A7" s="55" t="s">
        <v>19</v>
      </c>
      <c r="B7" s="753"/>
      <c r="C7" s="754"/>
      <c r="D7" s="760"/>
      <c r="E7" s="761"/>
      <c r="F7" s="761"/>
      <c r="G7" s="761"/>
      <c r="H7" s="762"/>
      <c r="I7" s="753"/>
      <c r="J7" s="756"/>
      <c r="K7" s="756"/>
      <c r="L7" s="754"/>
      <c r="M7" s="49">
        <f>[15]МГЭ!$I$3</f>
        <v>1.1477999999999999</v>
      </c>
    </row>
    <row r="8" spans="1:14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290"/>
      <c r="K8" s="290"/>
      <c r="L8" s="291"/>
    </row>
    <row r="9" spans="1:14" s="207" customFormat="1" x14ac:dyDescent="0.25">
      <c r="A9" s="300" t="s">
        <v>102</v>
      </c>
      <c r="B9" s="738" t="s">
        <v>462</v>
      </c>
      <c r="C9" s="738"/>
      <c r="D9" s="301"/>
      <c r="E9" s="301"/>
      <c r="F9" s="302">
        <f>17.5+24</f>
        <v>41.5</v>
      </c>
      <c r="G9" s="302" t="s">
        <v>783</v>
      </c>
      <c r="H9" s="301"/>
      <c r="I9" s="739" t="s">
        <v>463</v>
      </c>
      <c r="J9" s="739"/>
      <c r="K9" s="739"/>
      <c r="L9" s="740"/>
      <c r="M9" s="207">
        <f>4.35/3.99</f>
        <v>1.0902255639097742</v>
      </c>
    </row>
    <row r="10" spans="1:14" ht="33.75" customHeight="1" x14ac:dyDescent="0.25">
      <c r="A10" s="64">
        <v>2</v>
      </c>
      <c r="B10" s="741" t="s">
        <v>784</v>
      </c>
      <c r="C10" s="721"/>
      <c r="D10" s="742">
        <f>D12+D13+D14+F15</f>
        <v>61.75</v>
      </c>
      <c r="E10" s="742"/>
      <c r="F10" s="742"/>
      <c r="G10" s="742"/>
      <c r="H10" s="742"/>
      <c r="I10" s="742">
        <f>(I12+I13+I14+I15+I16+I17+I18)</f>
        <v>1.4879518072289157</v>
      </c>
      <c r="J10" s="742"/>
      <c r="K10" s="742"/>
      <c r="L10" s="743"/>
      <c r="N10" s="49" t="s">
        <v>787</v>
      </c>
    </row>
    <row r="11" spans="1:14" x14ac:dyDescent="0.25">
      <c r="A11" s="65"/>
      <c r="B11" s="735" t="s">
        <v>106</v>
      </c>
      <c r="C11" s="735"/>
      <c r="D11" s="286"/>
      <c r="E11" s="736"/>
      <c r="F11" s="736"/>
      <c r="G11" s="736"/>
      <c r="H11" s="736"/>
      <c r="I11" s="736"/>
      <c r="J11" s="68"/>
      <c r="K11" s="68"/>
      <c r="L11" s="69"/>
      <c r="N11" s="49" t="s">
        <v>788</v>
      </c>
    </row>
    <row r="12" spans="1:14" x14ac:dyDescent="0.25">
      <c r="A12" s="65"/>
      <c r="B12" s="735" t="s">
        <v>107</v>
      </c>
      <c r="C12" s="735"/>
      <c r="D12" s="736">
        <f>C35</f>
        <v>0</v>
      </c>
      <c r="E12" s="736"/>
      <c r="F12" s="736"/>
      <c r="G12" s="736"/>
      <c r="H12" s="736"/>
      <c r="I12" s="718">
        <f>H35</f>
        <v>0</v>
      </c>
      <c r="J12" s="718"/>
      <c r="K12" s="718"/>
      <c r="L12" s="719"/>
    </row>
    <row r="13" spans="1:14" x14ac:dyDescent="0.25">
      <c r="A13" s="65"/>
      <c r="B13" s="735" t="s">
        <v>108</v>
      </c>
      <c r="C13" s="735"/>
      <c r="D13" s="736">
        <f>D35</f>
        <v>0</v>
      </c>
      <c r="E13" s="736"/>
      <c r="F13" s="736"/>
      <c r="G13" s="736"/>
      <c r="H13" s="736"/>
      <c r="I13" s="718">
        <f>I29</f>
        <v>0</v>
      </c>
      <c r="J13" s="718"/>
      <c r="K13" s="718"/>
      <c r="L13" s="719"/>
    </row>
    <row r="14" spans="1:14" x14ac:dyDescent="0.25">
      <c r="A14" s="65"/>
      <c r="B14" s="735" t="s">
        <v>109</v>
      </c>
      <c r="C14" s="735"/>
      <c r="D14" s="736">
        <f>E35</f>
        <v>0</v>
      </c>
      <c r="E14" s="736"/>
      <c r="F14" s="736"/>
      <c r="G14" s="736"/>
      <c r="H14" s="736"/>
      <c r="I14" s="718">
        <f>J29</f>
        <v>0</v>
      </c>
      <c r="J14" s="718"/>
      <c r="K14" s="718"/>
      <c r="L14" s="719"/>
    </row>
    <row r="15" spans="1:14" x14ac:dyDescent="0.25">
      <c r="A15" s="65"/>
      <c r="B15" s="288" t="s">
        <v>110</v>
      </c>
      <c r="C15" s="288"/>
      <c r="D15" s="736">
        <f>F35</f>
        <v>61.75</v>
      </c>
      <c r="E15" s="736"/>
      <c r="F15" s="736">
        <f>F35</f>
        <v>61.75</v>
      </c>
      <c r="G15" s="736"/>
      <c r="H15" s="736"/>
      <c r="I15" s="718">
        <f>K35</f>
        <v>1.4879518072289157</v>
      </c>
      <c r="J15" s="718"/>
      <c r="K15" s="718"/>
      <c r="L15" s="719"/>
    </row>
    <row r="16" spans="1:14" x14ac:dyDescent="0.25">
      <c r="A16" s="65"/>
      <c r="B16" s="288" t="s">
        <v>785</v>
      </c>
      <c r="C16" s="288"/>
      <c r="D16" s="286"/>
      <c r="E16" s="286"/>
      <c r="F16" s="286"/>
      <c r="G16" s="286"/>
      <c r="H16" s="286"/>
      <c r="I16" s="718">
        <f>(I12+I13)*0.015</f>
        <v>0</v>
      </c>
      <c r="J16" s="718"/>
      <c r="K16" s="718"/>
      <c r="L16" s="719"/>
    </row>
    <row r="17" spans="1:14" x14ac:dyDescent="0.25">
      <c r="A17" s="65"/>
      <c r="B17" s="288" t="s">
        <v>798</v>
      </c>
      <c r="C17" s="288"/>
      <c r="D17" s="286"/>
      <c r="E17" s="286"/>
      <c r="F17" s="286"/>
      <c r="G17" s="286"/>
      <c r="H17" s="286"/>
      <c r="I17" s="718">
        <f>(I12+I13)*0.029</f>
        <v>0</v>
      </c>
      <c r="J17" s="718"/>
      <c r="K17" s="718"/>
      <c r="L17" s="719"/>
    </row>
    <row r="18" spans="1:14" x14ac:dyDescent="0.25">
      <c r="A18" s="65"/>
      <c r="B18" s="288"/>
      <c r="C18" s="288"/>
      <c r="D18" s="286"/>
      <c r="E18" s="286"/>
      <c r="F18" s="286"/>
      <c r="G18" s="286"/>
      <c r="H18" s="286"/>
      <c r="I18" s="718">
        <f>(I12+I13)*0.02</f>
        <v>0</v>
      </c>
      <c r="J18" s="718"/>
      <c r="K18" s="718"/>
      <c r="L18" s="719"/>
    </row>
    <row r="19" spans="1:14" x14ac:dyDescent="0.25">
      <c r="A19" s="65"/>
      <c r="B19" s="288"/>
      <c r="C19" s="288"/>
      <c r="D19" s="286"/>
      <c r="E19" s="286"/>
      <c r="F19" s="286"/>
      <c r="G19" s="286"/>
      <c r="H19" s="286"/>
      <c r="I19" s="718"/>
      <c r="J19" s="718"/>
      <c r="K19" s="718"/>
      <c r="L19" s="719"/>
      <c r="M19" s="49">
        <f>ROUND(M20/M21,4)</f>
        <v>1.1552</v>
      </c>
    </row>
    <row r="20" spans="1:14" s="103" customFormat="1" x14ac:dyDescent="0.25">
      <c r="A20" s="107"/>
      <c r="B20" s="571" t="s">
        <v>786</v>
      </c>
      <c r="C20" s="106"/>
      <c r="D20" s="105"/>
      <c r="E20" s="105"/>
      <c r="F20" s="105"/>
      <c r="G20" s="105"/>
      <c r="H20" s="105"/>
      <c r="I20" s="105"/>
      <c r="J20" s="247">
        <f>I10*M9</f>
        <v>1.6222030981067124</v>
      </c>
      <c r="K20" s="247"/>
      <c r="L20" s="104"/>
      <c r="M20" s="103">
        <v>4.1379999999999999</v>
      </c>
      <c r="N20" s="103" t="s">
        <v>632</v>
      </c>
    </row>
    <row r="21" spans="1:14" s="299" customFormat="1" x14ac:dyDescent="0.25">
      <c r="A21" s="294"/>
      <c r="B21" s="295" t="s">
        <v>465</v>
      </c>
      <c r="C21" s="295">
        <f>3250+400+300</f>
        <v>3950</v>
      </c>
      <c r="D21" s="296"/>
      <c r="E21" s="296"/>
      <c r="F21" s="296"/>
      <c r="G21" s="296"/>
      <c r="H21" s="296"/>
      <c r="I21" s="296"/>
      <c r="J21" s="297"/>
      <c r="K21" s="297"/>
      <c r="L21" s="298"/>
      <c r="M21" s="103">
        <v>3.5819999999999999</v>
      </c>
      <c r="N21" s="103" t="s">
        <v>633</v>
      </c>
    </row>
    <row r="22" spans="1:14" s="103" customFormat="1" x14ac:dyDescent="0.25">
      <c r="A22" s="107"/>
      <c r="B22" s="106"/>
      <c r="C22" s="106"/>
      <c r="D22" s="105"/>
      <c r="E22" s="105"/>
      <c r="F22" s="105"/>
      <c r="G22" s="105"/>
      <c r="H22" s="105"/>
      <c r="I22" s="105"/>
      <c r="J22" s="289"/>
      <c r="K22" s="289"/>
      <c r="L22" s="104"/>
    </row>
    <row r="23" spans="1:14" x14ac:dyDescent="0.25">
      <c r="A23" s="65"/>
      <c r="B23" s="288"/>
      <c r="C23" s="288"/>
      <c r="D23" s="286"/>
      <c r="E23" s="286"/>
      <c r="F23" s="286"/>
      <c r="G23" s="286"/>
      <c r="H23" s="286"/>
      <c r="I23" s="286"/>
      <c r="J23" s="286"/>
      <c r="K23" s="286"/>
      <c r="L23" s="287"/>
    </row>
    <row r="24" spans="1:14" x14ac:dyDescent="0.25">
      <c r="A24" s="720" t="s">
        <v>295</v>
      </c>
      <c r="B24" s="721"/>
      <c r="C24" s="721"/>
      <c r="D24" s="721"/>
      <c r="E24" s="721"/>
      <c r="F24" s="721"/>
      <c r="G24" s="721"/>
      <c r="H24" s="721"/>
      <c r="I24" s="721"/>
      <c r="J24" s="721"/>
      <c r="K24" s="721"/>
      <c r="L24" s="722"/>
    </row>
    <row r="25" spans="1:14" ht="13.5" customHeight="1" x14ac:dyDescent="0.25">
      <c r="A25" s="723" t="s">
        <v>112</v>
      </c>
      <c r="B25" s="726" t="s">
        <v>113</v>
      </c>
      <c r="C25" s="729" t="s">
        <v>99</v>
      </c>
      <c r="D25" s="730"/>
      <c r="E25" s="730"/>
      <c r="F25" s="730"/>
      <c r="G25" s="731"/>
      <c r="H25" s="729" t="s">
        <v>100</v>
      </c>
      <c r="I25" s="730"/>
      <c r="J25" s="730"/>
      <c r="K25" s="730"/>
      <c r="L25" s="731"/>
    </row>
    <row r="26" spans="1:14" x14ac:dyDescent="0.25">
      <c r="A26" s="724"/>
      <c r="B26" s="727"/>
      <c r="C26" s="732"/>
      <c r="D26" s="733"/>
      <c r="E26" s="733"/>
      <c r="F26" s="733"/>
      <c r="G26" s="734"/>
      <c r="H26" s="732"/>
      <c r="I26" s="733"/>
      <c r="J26" s="733"/>
      <c r="K26" s="733"/>
      <c r="L26" s="734"/>
    </row>
    <row r="27" spans="1:14" x14ac:dyDescent="0.25">
      <c r="A27" s="725"/>
      <c r="B27" s="728"/>
      <c r="C27" s="72" t="s">
        <v>114</v>
      </c>
      <c r="D27" s="284" t="s">
        <v>115</v>
      </c>
      <c r="E27" s="284" t="s">
        <v>116</v>
      </c>
      <c r="F27" s="284" t="s">
        <v>13</v>
      </c>
      <c r="G27" s="285" t="s">
        <v>117</v>
      </c>
      <c r="H27" s="72" t="s">
        <v>114</v>
      </c>
      <c r="I27" s="284" t="s">
        <v>115</v>
      </c>
      <c r="J27" s="284" t="s">
        <v>116</v>
      </c>
      <c r="K27" s="284" t="s">
        <v>13</v>
      </c>
      <c r="L27" s="285" t="s">
        <v>117</v>
      </c>
    </row>
    <row r="28" spans="1:14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4" s="84" customFormat="1" x14ac:dyDescent="0.25">
      <c r="A29" s="79">
        <v>1</v>
      </c>
      <c r="B29" s="80" t="s">
        <v>464</v>
      </c>
      <c r="C29" s="81">
        <v>0</v>
      </c>
      <c r="D29" s="82">
        <v>0</v>
      </c>
      <c r="E29" s="82"/>
      <c r="F29" s="82">
        <v>61.75</v>
      </c>
      <c r="G29" s="83">
        <f>F29+E29+D29+C29</f>
        <v>61.75</v>
      </c>
      <c r="H29" s="81">
        <f>C29/740</f>
        <v>0</v>
      </c>
      <c r="I29" s="82">
        <f>D29/740</f>
        <v>0</v>
      </c>
      <c r="J29" s="82">
        <f t="shared" ref="J29" si="0">E29/8*4</f>
        <v>0</v>
      </c>
      <c r="K29" s="82">
        <f>F29/F9</f>
        <v>1.4879518072289157</v>
      </c>
      <c r="L29" s="83">
        <f>K29+J29+I29+H29</f>
        <v>1.4879518072289157</v>
      </c>
    </row>
    <row r="30" spans="1:14" s="84" customFormat="1" ht="31.5" x14ac:dyDescent="0.25">
      <c r="A30" s="79" t="s">
        <v>172</v>
      </c>
      <c r="B30" s="80" t="s">
        <v>466</v>
      </c>
      <c r="C30" s="81">
        <v>0</v>
      </c>
      <c r="D30" s="82">
        <v>0</v>
      </c>
      <c r="E30" s="82"/>
      <c r="F30" s="82"/>
      <c r="G30" s="83">
        <f t="shared" ref="G30:G34" si="1">F30+E30+D30+C30</f>
        <v>0</v>
      </c>
      <c r="H30" s="81">
        <f t="shared" ref="H30:H34" si="2">C30/740</f>
        <v>0</v>
      </c>
      <c r="I30" s="82">
        <f t="shared" ref="I30:I34" si="3">D30/740</f>
        <v>0</v>
      </c>
      <c r="J30" s="82">
        <f t="shared" ref="J30:J34" si="4">E30/8*4</f>
        <v>0</v>
      </c>
      <c r="K30" s="82">
        <v>0</v>
      </c>
      <c r="L30" s="83">
        <v>0</v>
      </c>
    </row>
    <row r="31" spans="1:14" s="84" customFormat="1" ht="31.5" x14ac:dyDescent="0.25">
      <c r="A31" s="79" t="s">
        <v>120</v>
      </c>
      <c r="B31" s="80" t="s">
        <v>467</v>
      </c>
      <c r="C31" s="81">
        <v>0</v>
      </c>
      <c r="D31" s="82">
        <v>0</v>
      </c>
      <c r="E31" s="82"/>
      <c r="F31" s="82"/>
      <c r="G31" s="83">
        <f t="shared" si="1"/>
        <v>0</v>
      </c>
      <c r="H31" s="81">
        <f t="shared" si="2"/>
        <v>0</v>
      </c>
      <c r="I31" s="82">
        <f t="shared" si="3"/>
        <v>0</v>
      </c>
      <c r="J31" s="82">
        <f t="shared" si="4"/>
        <v>0</v>
      </c>
      <c r="K31" s="82">
        <f>F31/500</f>
        <v>0</v>
      </c>
      <c r="L31" s="83">
        <f t="shared" ref="L31:L34" si="5">K31+J31+I31+H31</f>
        <v>0</v>
      </c>
    </row>
    <row r="32" spans="1:14" s="84" customFormat="1" ht="31.5" x14ac:dyDescent="0.25">
      <c r="A32" s="79" t="s">
        <v>121</v>
      </c>
      <c r="B32" s="80" t="s">
        <v>468</v>
      </c>
      <c r="C32" s="81">
        <v>0</v>
      </c>
      <c r="D32" s="82">
        <v>0</v>
      </c>
      <c r="E32" s="82"/>
      <c r="F32" s="82"/>
      <c r="G32" s="83">
        <f t="shared" si="1"/>
        <v>0</v>
      </c>
      <c r="H32" s="81">
        <f t="shared" si="2"/>
        <v>0</v>
      </c>
      <c r="I32" s="82">
        <f t="shared" si="3"/>
        <v>0</v>
      </c>
      <c r="J32" s="82">
        <f t="shared" si="4"/>
        <v>0</v>
      </c>
      <c r="K32" s="82">
        <f>F32/3668</f>
        <v>0</v>
      </c>
      <c r="L32" s="83">
        <f t="shared" si="5"/>
        <v>0</v>
      </c>
    </row>
    <row r="33" spans="1:12" s="84" customFormat="1" ht="31.5" x14ac:dyDescent="0.25">
      <c r="A33" s="79" t="s">
        <v>177</v>
      </c>
      <c r="B33" s="80" t="s">
        <v>598</v>
      </c>
      <c r="C33" s="81">
        <v>0</v>
      </c>
      <c r="D33" s="82">
        <v>0</v>
      </c>
      <c r="E33" s="82"/>
      <c r="F33" s="82"/>
      <c r="G33" s="83">
        <f t="shared" si="1"/>
        <v>0</v>
      </c>
      <c r="H33" s="81">
        <f t="shared" si="2"/>
        <v>0</v>
      </c>
      <c r="I33" s="82">
        <f t="shared" si="3"/>
        <v>0</v>
      </c>
      <c r="J33" s="82">
        <f t="shared" si="4"/>
        <v>0</v>
      </c>
      <c r="K33" s="82">
        <f>F33/266</f>
        <v>0</v>
      </c>
      <c r="L33" s="83">
        <f t="shared" si="5"/>
        <v>0</v>
      </c>
    </row>
    <row r="34" spans="1:12" s="84" customFormat="1" ht="31.5" x14ac:dyDescent="0.25">
      <c r="A34" s="79" t="s">
        <v>179</v>
      </c>
      <c r="B34" s="80" t="s">
        <v>599</v>
      </c>
      <c r="C34" s="81">
        <v>0</v>
      </c>
      <c r="D34" s="82">
        <v>0</v>
      </c>
      <c r="E34" s="82"/>
      <c r="F34" s="82"/>
      <c r="G34" s="83">
        <f t="shared" si="1"/>
        <v>0</v>
      </c>
      <c r="H34" s="81">
        <f t="shared" si="2"/>
        <v>0</v>
      </c>
      <c r="I34" s="82">
        <f t="shared" si="3"/>
        <v>0</v>
      </c>
      <c r="J34" s="82">
        <f t="shared" si="4"/>
        <v>0</v>
      </c>
      <c r="K34" s="82">
        <f>F34/970</f>
        <v>0</v>
      </c>
      <c r="L34" s="83">
        <f t="shared" si="5"/>
        <v>0</v>
      </c>
    </row>
    <row r="35" spans="1:12" s="53" customFormat="1" ht="21.75" customHeight="1" x14ac:dyDescent="0.25">
      <c r="A35" s="90"/>
      <c r="B35" s="91" t="s">
        <v>122</v>
      </c>
      <c r="C35" s="92">
        <f>C29</f>
        <v>0</v>
      </c>
      <c r="D35" s="93">
        <f t="shared" ref="D35:L35" si="6">D29</f>
        <v>0</v>
      </c>
      <c r="E35" s="93">
        <f t="shared" si="6"/>
        <v>0</v>
      </c>
      <c r="F35" s="93">
        <f>F29</f>
        <v>61.75</v>
      </c>
      <c r="G35" s="94">
        <f t="shared" si="6"/>
        <v>61.75</v>
      </c>
      <c r="H35" s="92">
        <f t="shared" si="6"/>
        <v>0</v>
      </c>
      <c r="I35" s="93">
        <f t="shared" si="6"/>
        <v>0</v>
      </c>
      <c r="J35" s="93">
        <f t="shared" si="6"/>
        <v>0</v>
      </c>
      <c r="K35" s="93">
        <f t="shared" si="6"/>
        <v>1.4879518072289157</v>
      </c>
      <c r="L35" s="94">
        <f t="shared" si="6"/>
        <v>1.4879518072289157</v>
      </c>
    </row>
    <row r="36" spans="1:12" x14ac:dyDescent="0.25">
      <c r="A36" s="95"/>
      <c r="B36" s="96"/>
      <c r="C36" s="97"/>
      <c r="D36" s="97"/>
      <c r="E36" s="97"/>
      <c r="F36" s="97"/>
      <c r="G36" s="97"/>
      <c r="H36" s="97"/>
      <c r="I36" s="97"/>
      <c r="J36" s="97"/>
      <c r="K36" s="97"/>
      <c r="L36" s="98"/>
    </row>
    <row r="39" spans="1:12" x14ac:dyDescent="0.25">
      <c r="D39" s="100"/>
    </row>
    <row r="40" spans="1:12" x14ac:dyDescent="0.25">
      <c r="D40" s="100"/>
    </row>
    <row r="41" spans="1:12" x14ac:dyDescent="0.25">
      <c r="D41" s="100"/>
    </row>
    <row r="42" spans="1:12" x14ac:dyDescent="0.25">
      <c r="D42" s="100"/>
    </row>
    <row r="43" spans="1:12" x14ac:dyDescent="0.25">
      <c r="D43" s="100"/>
    </row>
    <row r="44" spans="1:12" x14ac:dyDescent="0.25">
      <c r="D44" s="100"/>
    </row>
    <row r="45" spans="1:12" x14ac:dyDescent="0.25">
      <c r="D45" s="100"/>
    </row>
    <row r="46" spans="1:12" x14ac:dyDescent="0.25">
      <c r="D46" s="100"/>
    </row>
    <row r="47" spans="1:12" x14ac:dyDescent="0.25">
      <c r="D47" s="100"/>
    </row>
    <row r="48" spans="1:12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/>
    </row>
    <row r="66" spans="4:5" x14ac:dyDescent="0.25">
      <c r="D66" s="100"/>
    </row>
    <row r="67" spans="4:5" x14ac:dyDescent="0.25">
      <c r="D67" s="100"/>
    </row>
    <row r="68" spans="4:5" x14ac:dyDescent="0.25">
      <c r="D68" s="100"/>
    </row>
    <row r="69" spans="4:5" x14ac:dyDescent="0.25">
      <c r="D69" s="100"/>
    </row>
    <row r="70" spans="4:5" x14ac:dyDescent="0.25">
      <c r="D70" s="100"/>
    </row>
    <row r="71" spans="4:5" x14ac:dyDescent="0.25">
      <c r="D71" s="100">
        <f>SUM(D39:D66)</f>
        <v>0</v>
      </c>
      <c r="E71" s="49">
        <f>SUM(E51:E70)</f>
        <v>0</v>
      </c>
    </row>
  </sheetData>
  <mergeCells count="38">
    <mergeCell ref="A1:L1"/>
    <mergeCell ref="A3:L3"/>
    <mergeCell ref="A4:L4"/>
    <mergeCell ref="B5:L5"/>
    <mergeCell ref="B6:C7"/>
    <mergeCell ref="I6:L6"/>
    <mergeCell ref="I7:L7"/>
    <mergeCell ref="D6:H7"/>
    <mergeCell ref="B8:C8"/>
    <mergeCell ref="B9:C9"/>
    <mergeCell ref="I9:L9"/>
    <mergeCell ref="B10:C10"/>
    <mergeCell ref="D10:H10"/>
    <mergeCell ref="I10:L10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I17:L17"/>
    <mergeCell ref="I18:L18"/>
    <mergeCell ref="I19:L19"/>
    <mergeCell ref="A24:L24"/>
    <mergeCell ref="A25:A27"/>
    <mergeCell ref="B25:B27"/>
    <mergeCell ref="C25:G25"/>
    <mergeCell ref="H25:L25"/>
    <mergeCell ref="C26:G26"/>
    <mergeCell ref="H26:L26"/>
  </mergeCells>
  <pageMargins left="0.39370078740157483" right="0.39370078740157483" top="0.59055118110236227" bottom="0.39370078740157483" header="0" footer="0"/>
  <pageSetup paperSize="9" scale="54" fitToHeight="100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AB16"/>
  <sheetViews>
    <sheetView tabSelected="1" view="pageBreakPreview" zoomScale="70" zoomScaleNormal="70" zoomScaleSheetLayoutView="70" workbookViewId="0">
      <selection activeCell="K4" sqref="K4"/>
    </sheetView>
  </sheetViews>
  <sheetFormatPr defaultColWidth="9.140625" defaultRowHeight="15" x14ac:dyDescent="0.25"/>
  <cols>
    <col min="1" max="1" width="10.140625" style="1" customWidth="1"/>
    <col min="2" max="2" width="56" style="1" customWidth="1"/>
    <col min="3" max="3" width="29.7109375" style="1" hidden="1" customWidth="1"/>
    <col min="4" max="4" width="10.7109375" style="678" bestFit="1" customWidth="1"/>
    <col min="5" max="5" width="14.140625" style="678" customWidth="1"/>
    <col min="6" max="6" width="20.7109375" style="7" customWidth="1"/>
    <col min="7" max="7" width="13.7109375" style="7" customWidth="1"/>
    <col min="8" max="8" width="16" style="7" customWidth="1"/>
    <col min="9" max="9" width="25.7109375" style="7" customWidth="1"/>
    <col min="10" max="10" width="33.140625" style="7" customWidth="1"/>
    <col min="11" max="11" width="27.85546875" style="1" customWidth="1"/>
    <col min="12" max="12" width="31.7109375" style="1" customWidth="1"/>
    <col min="13" max="13" width="33" style="1" customWidth="1"/>
    <col min="14" max="16384" width="9.140625" style="1"/>
  </cols>
  <sheetData>
    <row r="1" spans="1:28" s="52" customFormat="1" ht="25.9" customHeight="1" x14ac:dyDescent="0.25">
      <c r="A1" s="767" t="s">
        <v>840</v>
      </c>
      <c r="B1" s="767"/>
      <c r="C1" s="767"/>
      <c r="D1" s="767"/>
      <c r="E1" s="767"/>
      <c r="F1" s="767"/>
      <c r="G1" s="767"/>
      <c r="H1" s="767"/>
      <c r="I1" s="767"/>
      <c r="J1" s="767"/>
      <c r="K1" s="226"/>
      <c r="L1" s="226"/>
      <c r="M1" s="226"/>
      <c r="N1" s="226"/>
    </row>
    <row r="2" spans="1:28" s="53" customFormat="1" ht="23.25" customHeight="1" x14ac:dyDescent="0.25">
      <c r="A2" s="768" t="s">
        <v>838</v>
      </c>
      <c r="B2" s="769"/>
      <c r="C2" s="769"/>
      <c r="D2" s="769"/>
      <c r="E2" s="769"/>
      <c r="F2" s="769"/>
      <c r="G2" s="769"/>
      <c r="H2" s="769"/>
      <c r="I2" s="769"/>
      <c r="J2" s="769"/>
      <c r="K2" s="227"/>
      <c r="L2" s="227"/>
      <c r="M2" s="227"/>
      <c r="N2" s="227"/>
    </row>
    <row r="3" spans="1:28" hidden="1" x14ac:dyDescent="0.25"/>
    <row r="4" spans="1:28" s="5" customFormat="1" ht="232.5" customHeight="1" x14ac:dyDescent="0.25">
      <c r="A4" s="677"/>
      <c r="B4" s="770" t="s">
        <v>843</v>
      </c>
      <c r="C4" s="771"/>
      <c r="D4" s="771"/>
      <c r="E4" s="771"/>
      <c r="F4" s="771"/>
      <c r="G4" s="770" t="s">
        <v>849</v>
      </c>
      <c r="H4" s="771"/>
      <c r="I4" s="771"/>
      <c r="J4" s="771"/>
    </row>
    <row r="5" spans="1:28" ht="48.75" customHeight="1" x14ac:dyDescent="0.25">
      <c r="A5" s="380"/>
      <c r="B5" s="672" t="s">
        <v>14</v>
      </c>
      <c r="C5" s="672" t="s">
        <v>15</v>
      </c>
      <c r="D5" s="672" t="s">
        <v>16</v>
      </c>
      <c r="E5" s="672" t="s">
        <v>17</v>
      </c>
      <c r="F5" s="679" t="s">
        <v>844</v>
      </c>
      <c r="G5" s="672" t="s">
        <v>16</v>
      </c>
      <c r="H5" s="672" t="s">
        <v>17</v>
      </c>
      <c r="I5" s="679" t="s">
        <v>845</v>
      </c>
      <c r="J5" s="679" t="s">
        <v>846</v>
      </c>
    </row>
    <row r="6" spans="1:28" s="5" customFormat="1" ht="11.45" customHeight="1" x14ac:dyDescent="0.25">
      <c r="A6" s="772"/>
      <c r="B6" s="772"/>
      <c r="C6" s="772"/>
      <c r="D6" s="772"/>
      <c r="E6" s="772"/>
      <c r="F6" s="772"/>
      <c r="G6" s="772"/>
      <c r="H6" s="772"/>
      <c r="I6" s="772"/>
      <c r="J6" s="772"/>
    </row>
    <row r="7" spans="1:28" s="8" customFormat="1" ht="63" customHeight="1" x14ac:dyDescent="0.25">
      <c r="A7" s="688" t="s">
        <v>20</v>
      </c>
      <c r="B7" s="680" t="s">
        <v>839</v>
      </c>
      <c r="C7" s="681"/>
      <c r="D7" s="681" t="s">
        <v>103</v>
      </c>
      <c r="E7" s="682">
        <v>1487</v>
      </c>
      <c r="F7" s="683">
        <v>920510</v>
      </c>
      <c r="G7" s="684" t="s">
        <v>103</v>
      </c>
      <c r="H7" s="690">
        <v>302</v>
      </c>
      <c r="I7" s="683">
        <f>I9</f>
        <v>619.03833221250841</v>
      </c>
      <c r="J7" s="683">
        <f>H7*I7</f>
        <v>186949.57632817753</v>
      </c>
    </row>
    <row r="8" spans="1:28" x14ac:dyDescent="0.25">
      <c r="A8" s="672"/>
      <c r="B8" s="380"/>
      <c r="C8" s="672"/>
      <c r="D8" s="672"/>
      <c r="E8" s="685"/>
      <c r="F8" s="686"/>
      <c r="G8" s="686"/>
      <c r="H8" s="686"/>
      <c r="I8" s="686"/>
      <c r="J8" s="686"/>
    </row>
    <row r="9" spans="1:28" x14ac:dyDescent="0.25">
      <c r="A9" s="672"/>
      <c r="B9" s="687" t="s">
        <v>837</v>
      </c>
      <c r="C9" s="672"/>
      <c r="D9" s="672" t="s">
        <v>103</v>
      </c>
      <c r="E9" s="686">
        <v>1</v>
      </c>
      <c r="F9" s="686">
        <f>F7/E7</f>
        <v>619.03833221250841</v>
      </c>
      <c r="G9" s="686" t="s">
        <v>103</v>
      </c>
      <c r="H9" s="686">
        <v>1</v>
      </c>
      <c r="I9" s="686">
        <f>F9</f>
        <v>619.03833221250841</v>
      </c>
      <c r="J9" s="686"/>
    </row>
    <row r="10" spans="1:28" s="8" customFormat="1" ht="63" customHeight="1" x14ac:dyDescent="0.25">
      <c r="A10" s="688" t="s">
        <v>21</v>
      </c>
      <c r="B10" s="680" t="s">
        <v>847</v>
      </c>
      <c r="C10" s="681"/>
      <c r="D10" s="681" t="s">
        <v>103</v>
      </c>
      <c r="E10" s="682">
        <v>1487</v>
      </c>
      <c r="F10" s="683">
        <v>10786370</v>
      </c>
      <c r="G10" s="684" t="s">
        <v>103</v>
      </c>
      <c r="H10" s="690">
        <v>302</v>
      </c>
      <c r="I10" s="683">
        <f>I11</f>
        <v>7253.779421654338</v>
      </c>
      <c r="J10" s="683">
        <f>H10*I10</f>
        <v>2190641.3853396103</v>
      </c>
      <c r="K10" s="689"/>
    </row>
    <row r="11" spans="1:28" x14ac:dyDescent="0.25">
      <c r="A11" s="672"/>
      <c r="B11" s="687" t="s">
        <v>837</v>
      </c>
      <c r="C11" s="672"/>
      <c r="D11" s="672" t="s">
        <v>103</v>
      </c>
      <c r="E11" s="686">
        <v>1</v>
      </c>
      <c r="F11" s="686">
        <f>F10/E10</f>
        <v>7253.779421654338</v>
      </c>
      <c r="G11" s="686" t="s">
        <v>103</v>
      </c>
      <c r="H11" s="686">
        <v>1</v>
      </c>
      <c r="I11" s="686">
        <f>F11</f>
        <v>7253.779421654338</v>
      </c>
      <c r="J11" s="686"/>
    </row>
    <row r="12" spans="1:28" ht="75" customHeight="1" x14ac:dyDescent="0.25">
      <c r="A12" s="763" t="s">
        <v>848</v>
      </c>
      <c r="B12" s="764"/>
      <c r="C12" s="764"/>
      <c r="D12" s="764"/>
      <c r="E12" s="764"/>
      <c r="F12" s="764"/>
      <c r="G12" s="764"/>
      <c r="H12" s="764"/>
      <c r="I12" s="764"/>
      <c r="J12" s="764"/>
    </row>
    <row r="14" spans="1:28" s="675" customFormat="1" ht="26.25" customHeight="1" x14ac:dyDescent="0.25">
      <c r="A14" s="765" t="s">
        <v>841</v>
      </c>
      <c r="B14" s="765"/>
      <c r="C14" s="765"/>
      <c r="D14" s="765"/>
      <c r="E14" s="765"/>
      <c r="F14" s="765"/>
      <c r="G14" s="765"/>
      <c r="H14" s="765"/>
      <c r="I14" s="765"/>
      <c r="J14" s="765"/>
      <c r="K14" s="691"/>
      <c r="L14" s="766"/>
      <c r="M14" s="766"/>
      <c r="N14" s="766"/>
      <c r="O14" s="766"/>
      <c r="P14" s="766"/>
      <c r="Q14" s="691"/>
      <c r="R14" s="691"/>
      <c r="S14" s="691"/>
      <c r="T14" s="691"/>
      <c r="U14" s="691"/>
      <c r="V14" s="674"/>
      <c r="W14" s="674"/>
      <c r="X14" s="674"/>
      <c r="AB14" s="676"/>
    </row>
    <row r="15" spans="1:28" s="675" customFormat="1" ht="15" customHeight="1" x14ac:dyDescent="0.25">
      <c r="A15" s="674"/>
      <c r="B15" s="674"/>
      <c r="C15" s="674"/>
      <c r="D15" s="674"/>
      <c r="E15" s="674"/>
      <c r="F15" s="674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4"/>
      <c r="R15" s="674"/>
      <c r="S15" s="674"/>
      <c r="T15" s="674"/>
      <c r="U15" s="674"/>
      <c r="V15" s="674"/>
      <c r="W15" s="674"/>
      <c r="X15" s="674"/>
      <c r="AB15" s="676"/>
    </row>
    <row r="16" spans="1:28" s="675" customFormat="1" ht="26.25" customHeight="1" x14ac:dyDescent="0.25">
      <c r="A16" s="765" t="s">
        <v>842</v>
      </c>
      <c r="B16" s="765"/>
      <c r="C16" s="765"/>
      <c r="D16" s="765"/>
      <c r="E16" s="765"/>
      <c r="F16" s="765"/>
      <c r="G16" s="765"/>
      <c r="H16" s="765"/>
      <c r="I16" s="765"/>
      <c r="J16" s="765"/>
      <c r="K16" s="691"/>
      <c r="L16" s="766"/>
      <c r="M16" s="766"/>
      <c r="N16" s="766"/>
      <c r="O16" s="766"/>
      <c r="P16" s="766"/>
      <c r="Q16" s="691"/>
      <c r="R16" s="691"/>
      <c r="S16" s="691"/>
      <c r="T16" s="691"/>
      <c r="U16" s="691"/>
      <c r="V16" s="674"/>
      <c r="W16" s="674"/>
      <c r="X16" s="674"/>
      <c r="AB16" s="676"/>
    </row>
  </sheetData>
  <mergeCells count="10">
    <mergeCell ref="A1:J1"/>
    <mergeCell ref="A2:J2"/>
    <mergeCell ref="B4:F4"/>
    <mergeCell ref="G4:J4"/>
    <mergeCell ref="A6:J6"/>
    <mergeCell ref="A12:J12"/>
    <mergeCell ref="A14:J14"/>
    <mergeCell ref="L14:P14"/>
    <mergeCell ref="A16:J16"/>
    <mergeCell ref="L16:P16"/>
  </mergeCells>
  <pageMargins left="0.70866141732283472" right="0.70866141732283472" top="0.15748031496062992" bottom="0.35433070866141736" header="0.31496062992125984" footer="0.31496062992125984"/>
  <pageSetup paperSize="9" scale="65" fitToHeight="0" orientation="landscape" r:id="rId1"/>
  <rowBreaks count="1" manualBreakCount="1">
    <brk id="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  <pageSetUpPr fitToPage="1"/>
  </sheetPr>
  <dimension ref="A1:N37"/>
  <sheetViews>
    <sheetView showGridLines="0" view="pageBreakPreview" topLeftCell="A7" zoomScale="70" zoomScaleNormal="100" zoomScaleSheetLayoutView="70" workbookViewId="0">
      <selection activeCell="I23" sqref="I23:L23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3.285156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4" ht="65.25" customHeight="1" x14ac:dyDescent="0.25">
      <c r="A1" s="744"/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  <c r="N1" s="49">
        <f>[15]МГЭ!$I$4</f>
        <v>1.0055000000000001</v>
      </c>
    </row>
    <row r="2" spans="1:14" x14ac:dyDescent="0.25">
      <c r="A2" s="50"/>
      <c r="B2" s="53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53" customFormat="1" x14ac:dyDescent="0.25">
      <c r="A3" s="746" t="s">
        <v>689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</row>
    <row r="4" spans="1:14" s="53" customFormat="1" ht="21" customHeight="1" x14ac:dyDescent="0.25">
      <c r="A4" s="748" t="s">
        <v>777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4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4" ht="13.5" customHeight="1" x14ac:dyDescent="0.25">
      <c r="A6" s="54" t="s">
        <v>97</v>
      </c>
      <c r="B6" s="751" t="s">
        <v>98</v>
      </c>
      <c r="C6" s="752"/>
      <c r="D6" s="751" t="s">
        <v>99</v>
      </c>
      <c r="E6" s="755"/>
      <c r="F6" s="755"/>
      <c r="G6" s="755"/>
      <c r="H6" s="752"/>
      <c r="I6" s="751" t="s">
        <v>100</v>
      </c>
      <c r="J6" s="755"/>
      <c r="K6" s="755"/>
      <c r="L6" s="752"/>
    </row>
    <row r="7" spans="1:14" x14ac:dyDescent="0.25">
      <c r="A7" s="55" t="s">
        <v>19</v>
      </c>
      <c r="B7" s="753"/>
      <c r="C7" s="754"/>
      <c r="D7" s="753" t="s">
        <v>690</v>
      </c>
      <c r="E7" s="756"/>
      <c r="F7" s="756"/>
      <c r="G7" s="756"/>
      <c r="H7" s="754"/>
      <c r="I7" s="753" t="s">
        <v>691</v>
      </c>
      <c r="J7" s="756"/>
      <c r="K7" s="756"/>
      <c r="L7" s="754"/>
    </row>
    <row r="8" spans="1:14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33"/>
      <c r="K8" s="533"/>
      <c r="L8" s="534"/>
    </row>
    <row r="9" spans="1:14" x14ac:dyDescent="0.25">
      <c r="A9" s="50"/>
      <c r="B9" s="721" t="s">
        <v>693</v>
      </c>
      <c r="C9" s="721"/>
      <c r="D9" s="774">
        <v>5</v>
      </c>
      <c r="E9" s="774"/>
      <c r="F9" s="774"/>
      <c r="G9" s="774"/>
      <c r="H9" s="774"/>
      <c r="I9" s="774">
        <v>1</v>
      </c>
      <c r="J9" s="774"/>
      <c r="K9" s="774"/>
      <c r="L9" s="775"/>
    </row>
    <row r="10" spans="1:14" x14ac:dyDescent="0.25">
      <c r="A10" s="50"/>
      <c r="B10" s="528" t="s">
        <v>694</v>
      </c>
      <c r="C10" s="528"/>
      <c r="D10" s="531"/>
      <c r="E10" s="531"/>
      <c r="F10" s="531" t="s">
        <v>695</v>
      </c>
      <c r="G10" s="531"/>
      <c r="H10" s="531"/>
      <c r="I10" s="531"/>
      <c r="J10" s="531" t="s">
        <v>702</v>
      </c>
      <c r="K10" s="531"/>
      <c r="L10" s="532"/>
    </row>
    <row r="11" spans="1:14" x14ac:dyDescent="0.25">
      <c r="A11" s="50"/>
      <c r="B11" s="528" t="s">
        <v>687</v>
      </c>
      <c r="C11" s="528"/>
      <c r="D11" s="774" t="s">
        <v>688</v>
      </c>
      <c r="E11" s="774"/>
      <c r="F11" s="774"/>
      <c r="G11" s="774"/>
      <c r="H11" s="774"/>
      <c r="I11" s="774"/>
      <c r="J11" s="774"/>
      <c r="K11" s="774"/>
      <c r="L11" s="775"/>
    </row>
    <row r="12" spans="1:14" ht="33.75" customHeight="1" x14ac:dyDescent="0.25">
      <c r="A12" s="64">
        <v>2</v>
      </c>
      <c r="B12" s="741" t="s">
        <v>169</v>
      </c>
      <c r="C12" s="721"/>
      <c r="D12" s="742">
        <f>D14+D15+D16+F17</f>
        <v>12884.939999999999</v>
      </c>
      <c r="E12" s="742"/>
      <c r="F12" s="742"/>
      <c r="G12" s="742"/>
      <c r="H12" s="742"/>
      <c r="I12" s="742">
        <f>I14+I15+I16+I17+I18+I19+I20+I21</f>
        <v>3081.6085787559559</v>
      </c>
      <c r="J12" s="742"/>
      <c r="K12" s="742"/>
      <c r="L12" s="743"/>
    </row>
    <row r="13" spans="1:14" x14ac:dyDescent="0.25">
      <c r="A13" s="65"/>
      <c r="B13" s="735" t="s">
        <v>106</v>
      </c>
      <c r="C13" s="735"/>
      <c r="D13" s="526"/>
      <c r="E13" s="736"/>
      <c r="F13" s="736"/>
      <c r="G13" s="736"/>
      <c r="H13" s="736"/>
      <c r="I13" s="736"/>
      <c r="J13" s="68"/>
      <c r="K13" s="68"/>
      <c r="L13" s="69"/>
    </row>
    <row r="14" spans="1:14" x14ac:dyDescent="0.25">
      <c r="A14" s="65"/>
      <c r="B14" s="735" t="s">
        <v>107</v>
      </c>
      <c r="C14" s="735"/>
      <c r="D14" s="736">
        <f>C35</f>
        <v>1830.32</v>
      </c>
      <c r="E14" s="736"/>
      <c r="F14" s="736"/>
      <c r="G14" s="736"/>
      <c r="H14" s="736"/>
      <c r="I14" s="736">
        <f>H35</f>
        <v>416.67501867353508</v>
      </c>
      <c r="J14" s="736"/>
      <c r="K14" s="736"/>
      <c r="L14" s="773"/>
    </row>
    <row r="15" spans="1:14" x14ac:dyDescent="0.25">
      <c r="A15" s="65"/>
      <c r="B15" s="735" t="s">
        <v>108</v>
      </c>
      <c r="C15" s="735"/>
      <c r="D15" s="736">
        <f>D35</f>
        <v>4196.62</v>
      </c>
      <c r="E15" s="736"/>
      <c r="F15" s="736"/>
      <c r="G15" s="736"/>
      <c r="H15" s="736"/>
      <c r="I15" s="736">
        <f>I35</f>
        <v>943.95679072762391</v>
      </c>
      <c r="J15" s="736"/>
      <c r="K15" s="736"/>
      <c r="L15" s="773"/>
    </row>
    <row r="16" spans="1:14" x14ac:dyDescent="0.25">
      <c r="A16" s="65"/>
      <c r="B16" s="735" t="s">
        <v>109</v>
      </c>
      <c r="C16" s="735"/>
      <c r="D16" s="736">
        <f>E35</f>
        <v>5771.19</v>
      </c>
      <c r="E16" s="736"/>
      <c r="F16" s="736"/>
      <c r="G16" s="736"/>
      <c r="H16" s="736"/>
      <c r="I16" s="736">
        <f>J35</f>
        <v>1288.7386233097232</v>
      </c>
      <c r="J16" s="736"/>
      <c r="K16" s="736"/>
      <c r="L16" s="773"/>
    </row>
    <row r="17" spans="1:12" x14ac:dyDescent="0.25">
      <c r="A17" s="65"/>
      <c r="B17" s="527" t="s">
        <v>110</v>
      </c>
      <c r="C17" s="527"/>
      <c r="D17" s="736">
        <f>F35</f>
        <v>1086.81</v>
      </c>
      <c r="E17" s="736"/>
      <c r="F17" s="736">
        <f>F35</f>
        <v>1086.81</v>
      </c>
      <c r="G17" s="736"/>
      <c r="H17" s="736"/>
      <c r="I17" s="736">
        <f>K35</f>
        <v>239.83316291049579</v>
      </c>
      <c r="J17" s="736"/>
      <c r="K17" s="736"/>
      <c r="L17" s="773"/>
    </row>
    <row r="18" spans="1:12" x14ac:dyDescent="0.25">
      <c r="A18" s="65"/>
      <c r="B18" s="527" t="s">
        <v>85</v>
      </c>
      <c r="C18" s="527"/>
      <c r="D18" s="526"/>
      <c r="E18" s="526"/>
      <c r="F18" s="526"/>
      <c r="G18" s="526"/>
      <c r="H18" s="526"/>
      <c r="I18" s="736">
        <f>(I14+I15)*0.048</f>
        <v>65.310326851255638</v>
      </c>
      <c r="J18" s="736"/>
      <c r="K18" s="736"/>
      <c r="L18" s="773"/>
    </row>
    <row r="19" spans="1:12" x14ac:dyDescent="0.25">
      <c r="A19" s="65"/>
      <c r="B19" s="527" t="s">
        <v>39</v>
      </c>
      <c r="C19" s="527"/>
      <c r="D19" s="526"/>
      <c r="E19" s="526"/>
      <c r="F19" s="526"/>
      <c r="G19" s="526"/>
      <c r="H19" s="526"/>
      <c r="I19" s="736">
        <f>(I14+I15)*0.029</f>
        <v>39.458322472633611</v>
      </c>
      <c r="J19" s="736"/>
      <c r="K19" s="736"/>
      <c r="L19" s="773"/>
    </row>
    <row r="20" spans="1:12" x14ac:dyDescent="0.25">
      <c r="A20" s="65"/>
      <c r="B20" s="527" t="s">
        <v>40</v>
      </c>
      <c r="C20" s="527"/>
      <c r="D20" s="526"/>
      <c r="E20" s="526"/>
      <c r="F20" s="526"/>
      <c r="G20" s="526"/>
      <c r="H20" s="526"/>
      <c r="I20" s="736">
        <f>(I14+I15)*0.02</f>
        <v>27.212636188023179</v>
      </c>
      <c r="J20" s="736"/>
      <c r="K20" s="736"/>
      <c r="L20" s="773"/>
    </row>
    <row r="21" spans="1:12" x14ac:dyDescent="0.25">
      <c r="A21" s="65"/>
      <c r="B21" s="527" t="s">
        <v>163</v>
      </c>
      <c r="C21" s="527"/>
      <c r="D21" s="526"/>
      <c r="E21" s="526"/>
      <c r="F21" s="526"/>
      <c r="G21" s="526"/>
      <c r="H21" s="526"/>
      <c r="I21" s="736">
        <f>(I14+I15+I16+I17+I18+I19+I20)*0.02</f>
        <v>60.423697622665806</v>
      </c>
      <c r="J21" s="736"/>
      <c r="K21" s="736"/>
      <c r="L21" s="773"/>
    </row>
    <row r="22" spans="1:12" x14ac:dyDescent="0.25">
      <c r="A22" s="65"/>
      <c r="B22" s="735" t="s">
        <v>692</v>
      </c>
      <c r="C22" s="735"/>
      <c r="D22" s="736"/>
      <c r="E22" s="736"/>
      <c r="F22" s="736"/>
      <c r="G22" s="736"/>
      <c r="H22" s="736"/>
      <c r="I22" s="101">
        <v>0</v>
      </c>
      <c r="J22" s="101"/>
      <c r="K22" s="101"/>
      <c r="L22" s="102"/>
    </row>
    <row r="23" spans="1:12" x14ac:dyDescent="0.25">
      <c r="A23" s="50"/>
      <c r="B23" s="572" t="s">
        <v>723</v>
      </c>
      <c r="C23" s="52"/>
      <c r="D23" s="52"/>
      <c r="E23" s="52"/>
      <c r="F23" s="52"/>
      <c r="G23" s="52"/>
      <c r="H23" s="52"/>
      <c r="I23" s="742"/>
      <c r="J23" s="742"/>
      <c r="K23" s="742"/>
      <c r="L23" s="743"/>
    </row>
    <row r="24" spans="1:12" x14ac:dyDescent="0.25">
      <c r="A24" s="720" t="s">
        <v>170</v>
      </c>
      <c r="B24" s="721"/>
      <c r="C24" s="721"/>
      <c r="D24" s="721"/>
      <c r="E24" s="721"/>
      <c r="F24" s="721"/>
      <c r="G24" s="721"/>
      <c r="H24" s="721"/>
      <c r="I24" s="721"/>
      <c r="J24" s="721"/>
      <c r="K24" s="721"/>
      <c r="L24" s="722"/>
    </row>
    <row r="25" spans="1:12" ht="13.5" customHeight="1" x14ac:dyDescent="0.25">
      <c r="A25" s="723" t="s">
        <v>112</v>
      </c>
      <c r="B25" s="726" t="s">
        <v>113</v>
      </c>
      <c r="C25" s="729" t="s">
        <v>99</v>
      </c>
      <c r="D25" s="730"/>
      <c r="E25" s="730"/>
      <c r="F25" s="730"/>
      <c r="G25" s="731"/>
      <c r="H25" s="729" t="s">
        <v>100</v>
      </c>
      <c r="I25" s="730"/>
      <c r="J25" s="730"/>
      <c r="K25" s="730"/>
      <c r="L25" s="731"/>
    </row>
    <row r="26" spans="1:12" x14ac:dyDescent="0.25">
      <c r="A26" s="724"/>
      <c r="B26" s="727"/>
      <c r="C26" s="732"/>
      <c r="D26" s="733"/>
      <c r="E26" s="733"/>
      <c r="F26" s="733"/>
      <c r="G26" s="734"/>
      <c r="H26" s="732" t="s">
        <v>691</v>
      </c>
      <c r="I26" s="733"/>
      <c r="J26" s="733"/>
      <c r="K26" s="733"/>
      <c r="L26" s="734"/>
    </row>
    <row r="27" spans="1:12" x14ac:dyDescent="0.25">
      <c r="A27" s="725"/>
      <c r="B27" s="728"/>
      <c r="C27" s="72" t="s">
        <v>114</v>
      </c>
      <c r="D27" s="529" t="s">
        <v>115</v>
      </c>
      <c r="E27" s="529" t="s">
        <v>116</v>
      </c>
      <c r="F27" s="529" t="s">
        <v>13</v>
      </c>
      <c r="G27" s="530" t="s">
        <v>117</v>
      </c>
      <c r="H27" s="72" t="s">
        <v>114</v>
      </c>
      <c r="I27" s="529" t="s">
        <v>115</v>
      </c>
      <c r="J27" s="529" t="s">
        <v>116</v>
      </c>
      <c r="K27" s="529" t="s">
        <v>13</v>
      </c>
      <c r="L27" s="530" t="s">
        <v>117</v>
      </c>
    </row>
    <row r="28" spans="1:12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2" s="84" customFormat="1" ht="31.5" x14ac:dyDescent="0.25">
      <c r="A29" s="79">
        <v>1</v>
      </c>
      <c r="B29" s="80" t="s">
        <v>696</v>
      </c>
      <c r="C29" s="81">
        <v>196.01</v>
      </c>
      <c r="D29" s="82">
        <v>823.7</v>
      </c>
      <c r="E29" s="82">
        <v>545.48</v>
      </c>
      <c r="F29" s="82">
        <v>104.61</v>
      </c>
      <c r="G29" s="83">
        <f>F29+E29+D29+C29</f>
        <v>1669.8</v>
      </c>
      <c r="H29" s="81">
        <f>C29/5</f>
        <v>39.201999999999998</v>
      </c>
      <c r="I29" s="82">
        <f t="shared" ref="I29:I33" si="0">D29/5</f>
        <v>164.74</v>
      </c>
      <c r="J29" s="82">
        <f t="shared" ref="J29:J32" si="1">E29/5</f>
        <v>109.096</v>
      </c>
      <c r="K29" s="82">
        <f t="shared" ref="K29:K33" si="2">F29/5</f>
        <v>20.922000000000001</v>
      </c>
      <c r="L29" s="83">
        <f t="shared" ref="L29:L31" si="3">G29/5</f>
        <v>333.96</v>
      </c>
    </row>
    <row r="30" spans="1:12" s="84" customFormat="1" ht="31.5" x14ac:dyDescent="0.25">
      <c r="A30" s="85">
        <v>2</v>
      </c>
      <c r="B30" s="80" t="s">
        <v>697</v>
      </c>
      <c r="C30" s="87">
        <v>100.15</v>
      </c>
      <c r="D30" s="88"/>
      <c r="E30" s="88">
        <v>202.72</v>
      </c>
      <c r="F30" s="88"/>
      <c r="G30" s="89">
        <f t="shared" ref="G30:G34" si="4">F30+E30+D30+C30</f>
        <v>302.87</v>
      </c>
      <c r="H30" s="81">
        <f t="shared" ref="H30:H33" si="5">C30/5</f>
        <v>20.03</v>
      </c>
      <c r="I30" s="88">
        <f t="shared" si="0"/>
        <v>0</v>
      </c>
      <c r="J30" s="88">
        <f t="shared" si="1"/>
        <v>40.543999999999997</v>
      </c>
      <c r="K30" s="88">
        <f t="shared" si="2"/>
        <v>0</v>
      </c>
      <c r="L30" s="83">
        <f t="shared" si="3"/>
        <v>60.573999999999998</v>
      </c>
    </row>
    <row r="31" spans="1:12" s="84" customFormat="1" ht="47.25" x14ac:dyDescent="0.25">
      <c r="A31" s="85" t="s">
        <v>120</v>
      </c>
      <c r="B31" s="86" t="s">
        <v>698</v>
      </c>
      <c r="C31" s="87">
        <v>49.1</v>
      </c>
      <c r="D31" s="88">
        <v>508.21</v>
      </c>
      <c r="E31" s="88">
        <v>1619.37</v>
      </c>
      <c r="F31" s="88">
        <v>119.01</v>
      </c>
      <c r="G31" s="89">
        <f t="shared" si="4"/>
        <v>2295.6899999999996</v>
      </c>
      <c r="H31" s="81">
        <f t="shared" si="5"/>
        <v>9.82</v>
      </c>
      <c r="I31" s="88">
        <f t="shared" si="0"/>
        <v>101.642</v>
      </c>
      <c r="J31" s="88">
        <f t="shared" si="1"/>
        <v>323.87399999999997</v>
      </c>
      <c r="K31" s="88">
        <f t="shared" si="2"/>
        <v>23.802</v>
      </c>
      <c r="L31" s="83">
        <f t="shared" si="3"/>
        <v>459.13799999999992</v>
      </c>
    </row>
    <row r="32" spans="1:12" s="84" customFormat="1" x14ac:dyDescent="0.25">
      <c r="A32" s="85" t="s">
        <v>121</v>
      </c>
      <c r="B32" s="86" t="s">
        <v>699</v>
      </c>
      <c r="C32" s="87">
        <v>0</v>
      </c>
      <c r="D32" s="88">
        <v>111.59</v>
      </c>
      <c r="E32" s="88">
        <v>160.15</v>
      </c>
      <c r="F32" s="88">
        <v>120.63</v>
      </c>
      <c r="G32" s="89">
        <f t="shared" si="4"/>
        <v>392.37</v>
      </c>
      <c r="H32" s="81">
        <f t="shared" si="5"/>
        <v>0</v>
      </c>
      <c r="I32" s="88">
        <f t="shared" si="0"/>
        <v>22.318000000000001</v>
      </c>
      <c r="J32" s="88">
        <f t="shared" si="1"/>
        <v>32.03</v>
      </c>
      <c r="K32" s="88">
        <f t="shared" si="2"/>
        <v>24.125999999999998</v>
      </c>
      <c r="L32" s="83">
        <f>G32/5</f>
        <v>78.474000000000004</v>
      </c>
    </row>
    <row r="33" spans="1:12" s="84" customFormat="1" ht="31.5" x14ac:dyDescent="0.25">
      <c r="A33" s="543" t="s">
        <v>69</v>
      </c>
      <c r="B33" s="544" t="s">
        <v>700</v>
      </c>
      <c r="C33" s="545">
        <v>264.58</v>
      </c>
      <c r="D33" s="546">
        <v>229.91</v>
      </c>
      <c r="E33" s="546"/>
      <c r="F33" s="546">
        <v>200.67</v>
      </c>
      <c r="G33" s="89">
        <f t="shared" si="4"/>
        <v>695.16</v>
      </c>
      <c r="H33" s="81">
        <f t="shared" si="5"/>
        <v>52.915999999999997</v>
      </c>
      <c r="I33" s="88">
        <f t="shared" si="0"/>
        <v>45.981999999999999</v>
      </c>
      <c r="J33" s="88"/>
      <c r="K33" s="88">
        <f t="shared" si="2"/>
        <v>40.134</v>
      </c>
      <c r="L33" s="83">
        <f>G33/5</f>
        <v>139.03199999999998</v>
      </c>
    </row>
    <row r="34" spans="1:12" s="84" customFormat="1" x14ac:dyDescent="0.25">
      <c r="A34" s="543" t="s">
        <v>685</v>
      </c>
      <c r="B34" s="544" t="s">
        <v>701</v>
      </c>
      <c r="C34" s="545">
        <v>1220.48</v>
      </c>
      <c r="D34" s="546">
        <v>2523.21</v>
      </c>
      <c r="E34" s="546">
        <v>3243.47</v>
      </c>
      <c r="F34" s="546">
        <v>541.89</v>
      </c>
      <c r="G34" s="89">
        <f t="shared" si="4"/>
        <v>7529.0499999999993</v>
      </c>
      <c r="H34" s="547">
        <f>C34/310.6*75</f>
        <v>294.70701867353506</v>
      </c>
      <c r="I34" s="546">
        <f t="shared" ref="I34:K34" si="6">D34/310.6*75</f>
        <v>609.27479072762389</v>
      </c>
      <c r="J34" s="546">
        <f t="shared" si="6"/>
        <v>783.19462330972306</v>
      </c>
      <c r="K34" s="546">
        <f t="shared" si="6"/>
        <v>130.84916291049581</v>
      </c>
      <c r="L34" s="83">
        <f>G34/5</f>
        <v>1505.81</v>
      </c>
    </row>
    <row r="35" spans="1:12" s="53" customFormat="1" ht="21.75" customHeight="1" x14ac:dyDescent="0.25">
      <c r="A35" s="90"/>
      <c r="B35" s="91" t="s">
        <v>122</v>
      </c>
      <c r="C35" s="92">
        <f t="shared" ref="C35:G35" si="7">SUM(C29:C34)</f>
        <v>1830.32</v>
      </c>
      <c r="D35" s="93">
        <f t="shared" si="7"/>
        <v>4196.62</v>
      </c>
      <c r="E35" s="93">
        <f t="shared" si="7"/>
        <v>5771.19</v>
      </c>
      <c r="F35" s="93">
        <f t="shared" si="7"/>
        <v>1086.81</v>
      </c>
      <c r="G35" s="94">
        <f t="shared" si="7"/>
        <v>12884.939999999999</v>
      </c>
      <c r="H35" s="92">
        <f>SUM(H29:H34)</f>
        <v>416.67501867353508</v>
      </c>
      <c r="I35" s="93">
        <f t="shared" ref="I35:L35" si="8">SUM(I29:I34)</f>
        <v>943.95679072762391</v>
      </c>
      <c r="J35" s="93">
        <f t="shared" si="8"/>
        <v>1288.7386233097232</v>
      </c>
      <c r="K35" s="93">
        <f t="shared" si="8"/>
        <v>239.83316291049579</v>
      </c>
      <c r="L35" s="94">
        <f t="shared" si="8"/>
        <v>2576.9879999999998</v>
      </c>
    </row>
    <row r="36" spans="1:12" s="53" customFormat="1" x14ac:dyDescent="0.25">
      <c r="A36" s="127"/>
      <c r="B36" s="128"/>
      <c r="C36" s="129"/>
      <c r="D36" s="130"/>
      <c r="E36" s="130"/>
      <c r="F36" s="130"/>
      <c r="G36" s="131"/>
      <c r="H36" s="129"/>
      <c r="I36" s="130"/>
      <c r="J36" s="130"/>
      <c r="K36" s="130"/>
      <c r="L36" s="131"/>
    </row>
    <row r="37" spans="1:12" x14ac:dyDescent="0.25">
      <c r="A37" s="95"/>
      <c r="B37" s="96"/>
      <c r="C37" s="97"/>
      <c r="D37" s="97"/>
      <c r="E37" s="97"/>
      <c r="F37" s="97"/>
      <c r="G37" s="97"/>
      <c r="H37" s="97"/>
      <c r="I37" s="97"/>
      <c r="J37" s="97"/>
      <c r="K37" s="97"/>
      <c r="L37" s="98"/>
    </row>
  </sheetData>
  <mergeCells count="44">
    <mergeCell ref="A24:L24"/>
    <mergeCell ref="A25:A27"/>
    <mergeCell ref="B25:B27"/>
    <mergeCell ref="C25:G25"/>
    <mergeCell ref="H25:L25"/>
    <mergeCell ref="C26:G26"/>
    <mergeCell ref="H26:L26"/>
    <mergeCell ref="D17:H17"/>
    <mergeCell ref="I17:L17"/>
    <mergeCell ref="B22:C22"/>
    <mergeCell ref="D22:H22"/>
    <mergeCell ref="I23:L23"/>
    <mergeCell ref="I18:L18"/>
    <mergeCell ref="I19:L19"/>
    <mergeCell ref="I20:L20"/>
    <mergeCell ref="I21:L21"/>
    <mergeCell ref="B15:C15"/>
    <mergeCell ref="D15:H15"/>
    <mergeCell ref="I15:L15"/>
    <mergeCell ref="B16:C16"/>
    <mergeCell ref="D16:H16"/>
    <mergeCell ref="I16:L16"/>
    <mergeCell ref="B14:C14"/>
    <mergeCell ref="D14:H14"/>
    <mergeCell ref="I14:L14"/>
    <mergeCell ref="B8:C8"/>
    <mergeCell ref="B9:C9"/>
    <mergeCell ref="D9:H9"/>
    <mergeCell ref="I9:L9"/>
    <mergeCell ref="D11:H11"/>
    <mergeCell ref="I11:L11"/>
    <mergeCell ref="B12:C12"/>
    <mergeCell ref="D12:H12"/>
    <mergeCell ref="I12:L12"/>
    <mergeCell ref="B13:C13"/>
    <mergeCell ref="E13:I13"/>
    <mergeCell ref="A1:L1"/>
    <mergeCell ref="A3:L3"/>
    <mergeCell ref="A4:L4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4" fitToHeight="10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27</vt:i4>
      </vt:variant>
    </vt:vector>
  </HeadingPairs>
  <TitlesOfParts>
    <vt:vector size="61" baseType="lpstr">
      <vt:lpstr>ПНЦ на УК (3)</vt:lpstr>
      <vt:lpstr>ПНЦ на УК</vt:lpstr>
      <vt:lpstr>ПНЦ на УК (2)</vt:lpstr>
      <vt:lpstr>расчет 1 эт ПИР</vt:lpstr>
      <vt:lpstr>расчет 2 эт ПИР</vt:lpstr>
      <vt:lpstr>расчет эт 3 ПИР</vt:lpstr>
      <vt:lpstr>расчет 1.</vt:lpstr>
      <vt:lpstr>Расчет по объекту аналогу ЛНО</vt:lpstr>
      <vt:lpstr>расчет 2.1.</vt:lpstr>
      <vt:lpstr>расчет 3.</vt:lpstr>
      <vt:lpstr>расчет 4.</vt:lpstr>
      <vt:lpstr>расчет 5.</vt:lpstr>
      <vt:lpstr>расчет 6.</vt:lpstr>
      <vt:lpstr>расчет 7.</vt:lpstr>
      <vt:lpstr>расчет 8.</vt:lpstr>
      <vt:lpstr>расчет 9.</vt:lpstr>
      <vt:lpstr>расчет 10.</vt:lpstr>
      <vt:lpstr>расчет 11.</vt:lpstr>
      <vt:lpstr>расчет 12.</vt:lpstr>
      <vt:lpstr>расчет 13.</vt:lpstr>
      <vt:lpstr>расчет 14.</vt:lpstr>
      <vt:lpstr>расчет 15.</vt:lpstr>
      <vt:lpstr>расчет 16.</vt:lpstr>
      <vt:lpstr>расчет 17.</vt:lpstr>
      <vt:lpstr>расчет 18.</vt:lpstr>
      <vt:lpstr>расчет 19.</vt:lpstr>
      <vt:lpstr>расчет 20.</vt:lpstr>
      <vt:lpstr>расчет 21.</vt:lpstr>
      <vt:lpstr>расчет 22.</vt:lpstr>
      <vt:lpstr>расчет 23</vt:lpstr>
      <vt:lpstr>расчет 24.</vt:lpstr>
      <vt:lpstr>расчет 25.</vt:lpstr>
      <vt:lpstr>расчет 26.</vt:lpstr>
      <vt:lpstr>расчет стоимости еденицы</vt:lpstr>
      <vt:lpstr>'ПНЦ на УК'!Print_Area</vt:lpstr>
      <vt:lpstr>'ПНЦ на УК (2)'!Print_Area</vt:lpstr>
      <vt:lpstr>'ПНЦ на УК (3)'!Print_Area</vt:lpstr>
      <vt:lpstr>'расчет 1 эт ПИР'!Print_Area</vt:lpstr>
      <vt:lpstr>'расчет 1.'!Print_Area</vt:lpstr>
      <vt:lpstr>'расчет 11.'!Print_Area</vt:lpstr>
      <vt:lpstr>'расчет 12.'!Print_Area</vt:lpstr>
      <vt:lpstr>'расчет 13.'!Print_Area</vt:lpstr>
      <vt:lpstr>'расчет 14.'!Print_Area</vt:lpstr>
      <vt:lpstr>'расчет 15.'!Print_Area</vt:lpstr>
      <vt:lpstr>'расчет 16.'!Print_Area</vt:lpstr>
      <vt:lpstr>'расчет 18.'!Print_Area</vt:lpstr>
      <vt:lpstr>'расчет 2 эт ПИР'!Print_Area</vt:lpstr>
      <vt:lpstr>'расчет 2.1.'!Print_Area</vt:lpstr>
      <vt:lpstr>'расчет 20.'!Print_Area</vt:lpstr>
      <vt:lpstr>'расчет 21.'!Print_Area</vt:lpstr>
      <vt:lpstr>'расчет 22.'!Print_Area</vt:lpstr>
      <vt:lpstr>'расчет 23'!Print_Area</vt:lpstr>
      <vt:lpstr>'расчет 25.'!Print_Area</vt:lpstr>
      <vt:lpstr>'расчет 5.'!Print_Area</vt:lpstr>
      <vt:lpstr>'расчет 6.'!Print_Area</vt:lpstr>
      <vt:lpstr>'расчет 7.'!Print_Area</vt:lpstr>
      <vt:lpstr>'расчет 8.'!Print_Area</vt:lpstr>
      <vt:lpstr>'расчет 9.'!Print_Area</vt:lpstr>
      <vt:lpstr>'Расчет по объекту аналогу ЛНО'!Print_Area</vt:lpstr>
      <vt:lpstr>'расчет эт 3 ПИР'!Print_Area</vt:lpstr>
      <vt:lpstr>'Расчет по объекту аналогу ЛНО'!Область_печати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2025-08-13T08:53:52Z</dcterms:modified>
</cp:coreProperties>
</file>